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autoCompressPictures="0"/>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6EE61CB1-5417-664F-9477-0DD8A474BC20}" xr6:coauthVersionLast="47" xr6:coauthVersionMax="47" xr10:uidLastSave="{00000000-0000-0000-0000-000000000000}"/>
  <bookViews>
    <workbookView xWindow="5120" yWindow="600" windowWidth="26900" windowHeight="19180" tabRatio="790" activeTab="1" xr2:uid="{00000000-000D-0000-FFFF-FFFF00000000}"/>
  </bookViews>
  <sheets>
    <sheet name="Sheet1" sheetId="18" state="hidden" r:id="rId1"/>
    <sheet name="Conventional" sheetId="1" r:id="rId2"/>
    <sheet name="Prices" sheetId="10" state="hidden" r:id="rId3"/>
    <sheet name="Strip-Till" sheetId="2" r:id="rId4"/>
    <sheet name="Peanut Price Calculator" sheetId="17" r:id="rId5"/>
    <sheet name="Price Comparison" sheetId="14" r:id="rId6"/>
    <sheet name="CTillCharts" sheetId="11" r:id="rId7"/>
    <sheet name="STillCharts" sheetId="16" r:id="rId8"/>
    <sheet name="Irrigated" sheetId="7" state="hidden" r:id="rId9"/>
    <sheet name="Dryland" sheetId="3" state="hidden" r:id="rId10"/>
    <sheet name="Irrigated ST" sheetId="9" state="hidden" r:id="rId11"/>
    <sheet name="Dryland ST" sheetId="8" state="hidden" r:id="rId12"/>
  </sheets>
  <definedNames>
    <definedName name="_xlnm.Print_Area" localSheetId="1">Conventional!$A$1:$AA$48</definedName>
    <definedName name="_xlnm.Print_Area" localSheetId="6">CTillCharts!$A$1:$M$408</definedName>
    <definedName name="_xlnm.Print_Area" localSheetId="9">Dryland!$A$6:$M$38</definedName>
    <definedName name="_xlnm.Print_Area" localSheetId="11">'Dryland ST'!$A$6:$M$38</definedName>
    <definedName name="_xlnm.Print_Area" localSheetId="8">Irrigated!$A$4:$M$38</definedName>
    <definedName name="_xlnm.Print_Area" localSheetId="10">'Irrigated ST'!$A$3:$M$38</definedName>
    <definedName name="_xlnm.Print_Area" localSheetId="4">'Peanut Price Calculator'!$A$9:$I$28</definedName>
    <definedName name="_xlnm.Print_Area" localSheetId="5">'Price Comparison'!$A$1:$I$18</definedName>
    <definedName name="_xlnm.Print_Area" localSheetId="7">STillCharts!$A$1:$M$408</definedName>
    <definedName name="_xlnm.Print_Area" localSheetId="3">'Strip-Till'!$A$1:$U$50</definedName>
    <definedName name="TVC" localSheetId="7">Dryland!#REF!</definedName>
    <definedName name="TVC">Dryland!#REF!</definedName>
    <definedName name="yield" localSheetId="7">Dryland!#REF!</definedName>
    <definedName name="yield">Dryland!#REF!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16" i="2" l="1"/>
  <c r="R14" i="2"/>
  <c r="H36" i="2"/>
  <c r="H21" i="2"/>
  <c r="H16" i="2"/>
  <c r="H14" i="2"/>
  <c r="J36" i="2" l="1"/>
  <c r="T14" i="2"/>
  <c r="J21" i="2"/>
  <c r="J16" i="2"/>
  <c r="J14" i="2"/>
  <c r="F36" i="2" l="1"/>
  <c r="F23" i="2"/>
  <c r="F21" i="2"/>
  <c r="P16" i="2"/>
  <c r="F16" i="2"/>
  <c r="P14" i="2"/>
  <c r="L14" i="2"/>
  <c r="B14" i="2"/>
  <c r="B13" i="1"/>
  <c r="F14" i="2"/>
  <c r="N27" i="2" l="1"/>
  <c r="L27" i="2"/>
  <c r="J27" i="2"/>
  <c r="H27" i="2"/>
  <c r="F27" i="2"/>
  <c r="D27" i="2"/>
  <c r="B27" i="2"/>
  <c r="J35" i="1"/>
  <c r="J20" i="1"/>
  <c r="J15" i="1"/>
  <c r="L13" i="1"/>
  <c r="T13" i="1"/>
  <c r="J13" i="1"/>
  <c r="D13" i="1" l="1"/>
  <c r="P22" i="1"/>
  <c r="P15" i="1"/>
  <c r="P13" i="1"/>
  <c r="F35" i="1"/>
  <c r="F20" i="1"/>
  <c r="F15" i="1"/>
  <c r="F13" i="1"/>
  <c r="X35" i="1" l="1"/>
  <c r="V35" i="1"/>
  <c r="X15" i="1"/>
  <c r="X20" i="1"/>
  <c r="V20" i="1"/>
  <c r="V15" i="1"/>
  <c r="X13" i="1"/>
  <c r="V13" i="1"/>
  <c r="H35" i="1" l="1"/>
  <c r="X26" i="1"/>
  <c r="V26" i="1"/>
  <c r="N26" i="1"/>
  <c r="L26" i="1"/>
  <c r="J26" i="1"/>
  <c r="F26" i="1"/>
  <c r="D26" i="1"/>
  <c r="B26" i="1"/>
  <c r="H20" i="1"/>
  <c r="H15" i="1"/>
  <c r="R15" i="1"/>
  <c r="H13" i="1"/>
  <c r="R13" i="1"/>
  <c r="L36" i="2" l="1"/>
  <c r="D36" i="2"/>
  <c r="B36" i="2"/>
  <c r="P21" i="2"/>
  <c r="P27" i="2" s="1"/>
  <c r="N21" i="2"/>
  <c r="L21" i="2"/>
  <c r="D21" i="2"/>
  <c r="B21" i="2"/>
  <c r="D35" i="1"/>
  <c r="B35" i="1"/>
  <c r="D20" i="1" l="1"/>
  <c r="L20" i="1"/>
  <c r="B20" i="1"/>
  <c r="N15" i="1"/>
  <c r="N16" i="2" l="1"/>
  <c r="D15" i="1" l="1"/>
  <c r="N13" i="1" l="1"/>
  <c r="D14" i="2"/>
  <c r="N14" i="2"/>
  <c r="D16" i="2"/>
  <c r="L15" i="1" l="1"/>
  <c r="L16" i="2"/>
  <c r="B16" i="2"/>
  <c r="L28" i="2"/>
  <c r="B28" i="2"/>
  <c r="L27" i="1"/>
  <c r="B27" i="1"/>
  <c r="B19" i="1"/>
  <c r="B15" i="1"/>
  <c r="L20" i="2"/>
  <c r="B20" i="2"/>
  <c r="L19" i="1"/>
  <c r="T16" i="2" l="1"/>
  <c r="T15" i="1"/>
  <c r="H11" i="2" l="1"/>
  <c r="P35" i="1" l="1"/>
  <c r="D19" i="2" l="1"/>
  <c r="B21" i="1" l="1"/>
  <c r="D21" i="1"/>
  <c r="F21" i="1"/>
  <c r="H21" i="1"/>
  <c r="J21" i="1"/>
  <c r="J8" i="1" l="1"/>
  <c r="L35" i="1" l="1"/>
  <c r="L11" i="2" l="1"/>
  <c r="R19" i="1" l="1"/>
  <c r="H19" i="1"/>
  <c r="J19" i="1"/>
  <c r="T19" i="1" l="1"/>
  <c r="P19" i="1" l="1"/>
  <c r="F19" i="1"/>
  <c r="R11" i="1"/>
  <c r="R11" i="2" l="1"/>
  <c r="X19" i="1"/>
  <c r="V19" i="1"/>
  <c r="T23" i="2" l="1"/>
  <c r="T20" i="1"/>
  <c r="T26" i="1" s="1"/>
  <c r="R20" i="1"/>
  <c r="P20" i="1"/>
  <c r="P26" i="1" s="1"/>
  <c r="N20" i="1"/>
  <c r="T35" i="1"/>
  <c r="R35" i="1"/>
  <c r="N35" i="1"/>
  <c r="T21" i="2"/>
  <c r="T27" i="2" s="1"/>
  <c r="R21" i="2"/>
  <c r="R27" i="2" s="1"/>
  <c r="T36" i="2"/>
  <c r="R36" i="2"/>
  <c r="P36" i="2"/>
  <c r="N36" i="2"/>
  <c r="N11" i="2"/>
  <c r="B23" i="17" l="1"/>
  <c r="N19" i="1"/>
  <c r="D19" i="1"/>
  <c r="A23" i="17" l="1"/>
  <c r="A12" i="17"/>
  <c r="F8" i="2"/>
  <c r="B12" i="1" l="1"/>
  <c r="J8" i="2" l="1"/>
  <c r="H8" i="2"/>
  <c r="H24" i="2" l="1"/>
  <c r="D48" i="2" l="1"/>
  <c r="N24" i="2" l="1"/>
  <c r="P24" i="2"/>
  <c r="D24" i="2"/>
  <c r="F24" i="2"/>
  <c r="D4" i="9"/>
  <c r="T24" i="2"/>
  <c r="L24" i="2"/>
  <c r="J24" i="2"/>
  <c r="B24" i="2"/>
  <c r="B8" i="2"/>
  <c r="B4" i="9" s="1"/>
  <c r="F48" i="2"/>
  <c r="H48" i="2"/>
  <c r="A27" i="17"/>
  <c r="A16" i="17"/>
  <c r="B17" i="17" s="1"/>
  <c r="D8" i="1" s="1"/>
  <c r="X9" i="1"/>
  <c r="A2" i="2"/>
  <c r="B50" i="2"/>
  <c r="T29" i="2"/>
  <c r="T8" i="2"/>
  <c r="T9" i="2" s="1"/>
  <c r="R24" i="2"/>
  <c r="R8" i="2"/>
  <c r="E4" i="8" s="1"/>
  <c r="P29" i="2"/>
  <c r="P8" i="2"/>
  <c r="P9" i="2" s="1"/>
  <c r="J29" i="2"/>
  <c r="J9" i="2"/>
  <c r="E4" i="9"/>
  <c r="F29" i="2"/>
  <c r="N18" i="2"/>
  <c r="N19" i="2"/>
  <c r="N7" i="2"/>
  <c r="N29" i="2" s="1"/>
  <c r="D18" i="2"/>
  <c r="D7" i="2"/>
  <c r="D29" i="2" s="1"/>
  <c r="L18" i="2"/>
  <c r="L19" i="2"/>
  <c r="L13" i="2"/>
  <c r="L8" i="2"/>
  <c r="L9" i="2" s="1"/>
  <c r="B18" i="2"/>
  <c r="B19" i="2"/>
  <c r="B13" i="2"/>
  <c r="A33" i="2"/>
  <c r="A34" i="2"/>
  <c r="X28" i="1"/>
  <c r="V28" i="1"/>
  <c r="T28" i="1"/>
  <c r="T8" i="1"/>
  <c r="T9" i="1" s="1"/>
  <c r="R8" i="1"/>
  <c r="R9" i="1" s="1"/>
  <c r="P28" i="1"/>
  <c r="P8" i="1"/>
  <c r="P9" i="1" s="1"/>
  <c r="N7" i="1"/>
  <c r="N28" i="1" s="1"/>
  <c r="L12" i="1"/>
  <c r="L8" i="1"/>
  <c r="L9" i="1" s="1"/>
  <c r="J28" i="1"/>
  <c r="F28" i="1"/>
  <c r="D7" i="1"/>
  <c r="B269" i="11" s="1"/>
  <c r="D10" i="18"/>
  <c r="D11" i="18" s="1"/>
  <c r="D12" i="18" s="1"/>
  <c r="A10" i="18"/>
  <c r="A11" i="18" s="1"/>
  <c r="A12" i="18" s="1"/>
  <c r="E10" i="18"/>
  <c r="E11" i="18" s="1"/>
  <c r="E12" i="18" s="1"/>
  <c r="C10" i="18"/>
  <c r="C11" i="18" s="1"/>
  <c r="C12" i="18" s="1"/>
  <c r="B10" i="18"/>
  <c r="B11" i="18" s="1"/>
  <c r="B12" i="18" s="1"/>
  <c r="D3" i="18"/>
  <c r="D4" i="18" s="1"/>
  <c r="D5" i="18" s="1"/>
  <c r="A3" i="18"/>
  <c r="A4" i="18" s="1"/>
  <c r="A5" i="18" s="1"/>
  <c r="E3" i="18"/>
  <c r="E4" i="18" s="1"/>
  <c r="E5" i="18" s="1"/>
  <c r="C3" i="18"/>
  <c r="C4" i="18" s="1"/>
  <c r="C5" i="18" s="1"/>
  <c r="B3" i="18"/>
  <c r="B4" i="18" s="1"/>
  <c r="B5" i="18" s="1"/>
  <c r="J37" i="2"/>
  <c r="A3" i="2"/>
  <c r="B3" i="9"/>
  <c r="K13" i="9" s="1"/>
  <c r="I13" i="9" s="1"/>
  <c r="B37" i="2"/>
  <c r="B372" i="11"/>
  <c r="A1" i="2"/>
  <c r="D37" i="2"/>
  <c r="F37" i="2"/>
  <c r="H37" i="2"/>
  <c r="B4" i="17"/>
  <c r="B6" i="17" s="1"/>
  <c r="A49" i="2"/>
  <c r="B406" i="16"/>
  <c r="B405" i="16"/>
  <c r="B337" i="16"/>
  <c r="B336" i="16"/>
  <c r="B304" i="16"/>
  <c r="B303" i="16"/>
  <c r="B236" i="16"/>
  <c r="B235" i="16"/>
  <c r="B100" i="16"/>
  <c r="B99" i="16"/>
  <c r="B66" i="16"/>
  <c r="B65" i="16"/>
  <c r="B406" i="11"/>
  <c r="B405" i="11"/>
  <c r="B337" i="11"/>
  <c r="B336" i="11"/>
  <c r="B304" i="11"/>
  <c r="B303" i="11"/>
  <c r="B236" i="11"/>
  <c r="B235" i="11"/>
  <c r="B100" i="11"/>
  <c r="B99" i="11"/>
  <c r="B66" i="11"/>
  <c r="B65" i="11"/>
  <c r="D67" i="10"/>
  <c r="E67" i="10"/>
  <c r="B67" i="10"/>
  <c r="E46" i="10"/>
  <c r="D46" i="10"/>
  <c r="B46" i="10"/>
  <c r="T77" i="10"/>
  <c r="T78" i="10" s="1"/>
  <c r="T79" i="10" s="1"/>
  <c r="T80" i="10" s="1"/>
  <c r="T81" i="10" s="1"/>
  <c r="T82" i="10" s="1"/>
  <c r="T83" i="10" s="1"/>
  <c r="T84" i="10" s="1"/>
  <c r="N77" i="10"/>
  <c r="N78" i="10" s="1"/>
  <c r="N79" i="10" s="1"/>
  <c r="N80" i="10" s="1"/>
  <c r="N81" i="10" s="1"/>
  <c r="N82" i="10" s="1"/>
  <c r="N83" i="10" s="1"/>
  <c r="N84" i="10" s="1"/>
  <c r="B77" i="10"/>
  <c r="B78" i="10" s="1"/>
  <c r="B79" i="10" s="1"/>
  <c r="B80" i="10" s="1"/>
  <c r="B81" i="10" s="1"/>
  <c r="B82" i="10" s="1"/>
  <c r="B83" i="10" s="1"/>
  <c r="B84" i="10" s="1"/>
  <c r="T56" i="10"/>
  <c r="T57" i="10" s="1"/>
  <c r="T58" i="10" s="1"/>
  <c r="T59" i="10" s="1"/>
  <c r="N56" i="10"/>
  <c r="N57" i="10" s="1"/>
  <c r="N58" i="10" s="1"/>
  <c r="N59" i="10" s="1"/>
  <c r="N60" i="10" s="1"/>
  <c r="N61" i="10" s="1"/>
  <c r="N62" i="10" s="1"/>
  <c r="N63" i="10" s="1"/>
  <c r="B56" i="10"/>
  <c r="B57" i="10" s="1"/>
  <c r="B58" i="10" s="1"/>
  <c r="B59" i="10" s="1"/>
  <c r="B60" i="10" s="1"/>
  <c r="B61" i="10" s="1"/>
  <c r="B62" i="10" s="1"/>
  <c r="B63" i="10" s="1"/>
  <c r="B35" i="10"/>
  <c r="B34" i="10" s="1"/>
  <c r="B33" i="10" s="1"/>
  <c r="N14" i="10"/>
  <c r="N15" i="10" s="1"/>
  <c r="N16" i="10" s="1"/>
  <c r="N17" i="10" s="1"/>
  <c r="N18" i="10" s="1"/>
  <c r="N19" i="10" s="1"/>
  <c r="N20" i="10" s="1"/>
  <c r="N21" i="10" s="1"/>
  <c r="T14" i="10"/>
  <c r="T13" i="10" s="1"/>
  <c r="T12" i="10" s="1"/>
  <c r="T11" i="10" s="1"/>
  <c r="T10" i="10" s="1"/>
  <c r="T9" i="10" s="1"/>
  <c r="T8" i="10" s="1"/>
  <c r="T7" i="10" s="1"/>
  <c r="T35" i="10"/>
  <c r="T36" i="10" s="1"/>
  <c r="T37" i="10" s="1"/>
  <c r="N35" i="10"/>
  <c r="N36" i="10" s="1"/>
  <c r="N37" i="10" s="1"/>
  <c r="N38" i="10" s="1"/>
  <c r="N39" i="10" s="1"/>
  <c r="N40" i="10" s="1"/>
  <c r="N41" i="10" s="1"/>
  <c r="N42" i="10" s="1"/>
  <c r="E25" i="10"/>
  <c r="D25" i="10"/>
  <c r="B25" i="10"/>
  <c r="B14" i="10"/>
  <c r="B15" i="10" s="1"/>
  <c r="B16" i="10" s="1"/>
  <c r="B17" i="10" s="1"/>
  <c r="E4" i="10"/>
  <c r="D4" i="10"/>
  <c r="B4" i="10"/>
  <c r="E4" i="7"/>
  <c r="A36" i="7" s="1"/>
  <c r="A36" i="3" s="1"/>
  <c r="D3" i="9"/>
  <c r="D13" i="9" s="1"/>
  <c r="E3" i="9"/>
  <c r="D33" i="9" s="1"/>
  <c r="F3" i="9"/>
  <c r="D23" i="9" s="1"/>
  <c r="D3" i="8"/>
  <c r="D13" i="8" s="1"/>
  <c r="E3" i="8"/>
  <c r="D33" i="8" s="1"/>
  <c r="F3" i="8"/>
  <c r="D23" i="8" s="1"/>
  <c r="B3" i="8"/>
  <c r="K13" i="8" s="1"/>
  <c r="B2" i="8"/>
  <c r="C2" i="8"/>
  <c r="D2" i="8"/>
  <c r="E2" i="8"/>
  <c r="F2" i="8"/>
  <c r="B2" i="9"/>
  <c r="C2" i="9"/>
  <c r="D2" i="9"/>
  <c r="E2" i="9"/>
  <c r="F2" i="9"/>
  <c r="B2" i="7"/>
  <c r="C2" i="7"/>
  <c r="D2" i="7"/>
  <c r="E2" i="7"/>
  <c r="F2" i="7"/>
  <c r="G2" i="7"/>
  <c r="B3" i="7"/>
  <c r="K13" i="7" s="1"/>
  <c r="D3" i="7"/>
  <c r="D13" i="7" s="1"/>
  <c r="E3" i="7"/>
  <c r="D33" i="7" s="1"/>
  <c r="F3" i="7"/>
  <c r="D23" i="7" s="1"/>
  <c r="G3" i="7"/>
  <c r="K33" i="7" s="1"/>
  <c r="B4" i="7"/>
  <c r="H16" i="7" s="1"/>
  <c r="D4" i="7"/>
  <c r="A16" i="7" s="1"/>
  <c r="G4" i="7"/>
  <c r="H36" i="7" s="1"/>
  <c r="G3" i="3"/>
  <c r="K33" i="3" s="1"/>
  <c r="F3" i="3"/>
  <c r="D23" i="3" s="1"/>
  <c r="E3" i="3"/>
  <c r="D33" i="3" s="1"/>
  <c r="F33" i="3" s="1"/>
  <c r="D3" i="3"/>
  <c r="D13" i="3" s="1"/>
  <c r="B3" i="3"/>
  <c r="K13" i="3" s="1"/>
  <c r="I13" i="3" s="1"/>
  <c r="B2" i="3"/>
  <c r="C2" i="3"/>
  <c r="D2" i="3"/>
  <c r="E2" i="3"/>
  <c r="F2" i="3"/>
  <c r="G2" i="3"/>
  <c r="V9" i="1"/>
  <c r="H9" i="1"/>
  <c r="B9" i="1"/>
  <c r="F9" i="1"/>
  <c r="B270" i="16"/>
  <c r="B134" i="11"/>
  <c r="F4" i="7"/>
  <c r="A26" i="7" s="1"/>
  <c r="J9" i="1"/>
  <c r="B371" i="11"/>
  <c r="B202" i="11"/>
  <c r="F9" i="2"/>
  <c r="C25" i="10"/>
  <c r="B32" i="11"/>
  <c r="H20" i="2" l="1"/>
  <c r="R20" i="2" s="1"/>
  <c r="J20" i="2"/>
  <c r="T20" i="2" s="1"/>
  <c r="F22" i="2"/>
  <c r="B22" i="2"/>
  <c r="J22" i="2"/>
  <c r="D22" i="2"/>
  <c r="H22" i="2"/>
  <c r="B133" i="11"/>
  <c r="B269" i="16"/>
  <c r="B201" i="11"/>
  <c r="C4" i="10"/>
  <c r="C3" i="9"/>
  <c r="K23" i="9" s="1"/>
  <c r="I23" i="9" s="1"/>
  <c r="D28" i="1"/>
  <c r="B167" i="11"/>
  <c r="B371" i="16"/>
  <c r="C3" i="7"/>
  <c r="K23" i="7" s="1"/>
  <c r="L23" i="7" s="1"/>
  <c r="B31" i="11"/>
  <c r="B133" i="16"/>
  <c r="N20" i="2"/>
  <c r="D20" i="2"/>
  <c r="C46" i="10"/>
  <c r="B31" i="16"/>
  <c r="B201" i="16"/>
  <c r="B167" i="16"/>
  <c r="B168" i="16"/>
  <c r="X30" i="1"/>
  <c r="E4" i="3"/>
  <c r="E5" i="3" s="1"/>
  <c r="E5" i="7"/>
  <c r="B76" i="10"/>
  <c r="B75" i="10" s="1"/>
  <c r="B74" i="10" s="1"/>
  <c r="B73" i="10" s="1"/>
  <c r="B72" i="10" s="1"/>
  <c r="B71" i="10" s="1"/>
  <c r="B70" i="10" s="1"/>
  <c r="B5" i="7"/>
  <c r="F33" i="9"/>
  <c r="E33" i="9"/>
  <c r="I13" i="7"/>
  <c r="L13" i="7"/>
  <c r="L30" i="1"/>
  <c r="D29" i="1"/>
  <c r="T55" i="10"/>
  <c r="T54" i="10" s="1"/>
  <c r="T53" i="10" s="1"/>
  <c r="T52" i="10" s="1"/>
  <c r="T51" i="10" s="1"/>
  <c r="T50" i="10" s="1"/>
  <c r="T49" i="10" s="1"/>
  <c r="B4" i="8"/>
  <c r="B5" i="8" s="1"/>
  <c r="D5" i="7"/>
  <c r="G4" i="3"/>
  <c r="G5" i="3" s="1"/>
  <c r="L13" i="3"/>
  <c r="M13" i="7"/>
  <c r="R9" i="2"/>
  <c r="F4" i="9"/>
  <c r="F5" i="9" s="1"/>
  <c r="L13" i="9"/>
  <c r="B36" i="10"/>
  <c r="B37" i="10" s="1"/>
  <c r="B38" i="10" s="1"/>
  <c r="B39" i="10" s="1"/>
  <c r="B40" i="10" s="1"/>
  <c r="D4" i="8"/>
  <c r="D5" i="8" s="1"/>
  <c r="N13" i="10"/>
  <c r="N12" i="10" s="1"/>
  <c r="N11" i="10" s="1"/>
  <c r="N76" i="10"/>
  <c r="N75" i="10" s="1"/>
  <c r="N74" i="10" s="1"/>
  <c r="N73" i="10" s="1"/>
  <c r="N72" i="10" s="1"/>
  <c r="N71" i="10" s="1"/>
  <c r="N70" i="10" s="1"/>
  <c r="B202" i="16"/>
  <c r="C33" i="7"/>
  <c r="B33" i="7"/>
  <c r="E33" i="7"/>
  <c r="M13" i="3"/>
  <c r="A37" i="7"/>
  <c r="A37" i="9" s="1"/>
  <c r="E33" i="3"/>
  <c r="C33" i="9"/>
  <c r="M13" i="9"/>
  <c r="T15" i="10"/>
  <c r="T16" i="10" s="1"/>
  <c r="T17" i="10" s="1"/>
  <c r="T76" i="10"/>
  <c r="T75" i="10" s="1"/>
  <c r="T74" i="10" s="1"/>
  <c r="T73" i="10" s="1"/>
  <c r="J13" i="3"/>
  <c r="J13" i="9"/>
  <c r="J13" i="7"/>
  <c r="E5" i="8"/>
  <c r="N55" i="10"/>
  <c r="N54" i="10" s="1"/>
  <c r="N53" i="10" s="1"/>
  <c r="E5" i="9"/>
  <c r="D5" i="9"/>
  <c r="B4" i="3"/>
  <c r="B5" i="3" s="1"/>
  <c r="P30" i="1"/>
  <c r="B9" i="2"/>
  <c r="B55" i="10"/>
  <c r="B54" i="10" s="1"/>
  <c r="B53" i="10" s="1"/>
  <c r="B52" i="10" s="1"/>
  <c r="B51" i="10" s="1"/>
  <c r="B50" i="10" s="1"/>
  <c r="B49" i="10" s="1"/>
  <c r="F4" i="8"/>
  <c r="F5" i="8" s="1"/>
  <c r="F4" i="3"/>
  <c r="F5" i="3" s="1"/>
  <c r="F5" i="7"/>
  <c r="D4" i="3"/>
  <c r="D5" i="3" s="1"/>
  <c r="N34" i="10"/>
  <c r="N33" i="10" s="1"/>
  <c r="N32" i="10" s="1"/>
  <c r="N31" i="10" s="1"/>
  <c r="N30" i="10" s="1"/>
  <c r="A38" i="7"/>
  <c r="A36" i="9"/>
  <c r="A35" i="7"/>
  <c r="A36" i="8"/>
  <c r="A34" i="7"/>
  <c r="A34" i="8" s="1"/>
  <c r="T34" i="10"/>
  <c r="T33" i="10" s="1"/>
  <c r="T32" i="10" s="1"/>
  <c r="H9" i="2"/>
  <c r="C67" i="10"/>
  <c r="B168" i="11"/>
  <c r="B270" i="11"/>
  <c r="B32" i="16"/>
  <c r="C3" i="8"/>
  <c r="K23" i="8" s="1"/>
  <c r="J23" i="8" s="1"/>
  <c r="C3" i="3"/>
  <c r="K23" i="3" s="1"/>
  <c r="L23" i="3" s="1"/>
  <c r="B372" i="16"/>
  <c r="B134" i="16"/>
  <c r="B13" i="7"/>
  <c r="C13" i="7"/>
  <c r="E13" i="7"/>
  <c r="F13" i="7"/>
  <c r="H16" i="3"/>
  <c r="H15" i="7"/>
  <c r="H14" i="7"/>
  <c r="H18" i="7"/>
  <c r="H16" i="9"/>
  <c r="H16" i="8"/>
  <c r="H17" i="7"/>
  <c r="F13" i="8"/>
  <c r="E13" i="8"/>
  <c r="C13" i="8"/>
  <c r="B13" i="8"/>
  <c r="A24" i="7"/>
  <c r="A26" i="9"/>
  <c r="A26" i="3"/>
  <c r="A28" i="7"/>
  <c r="A26" i="8"/>
  <c r="A25" i="7"/>
  <c r="A27" i="7"/>
  <c r="H35" i="7"/>
  <c r="H35" i="3" s="1"/>
  <c r="H34" i="7"/>
  <c r="H34" i="3" s="1"/>
  <c r="H36" i="3"/>
  <c r="H38" i="7"/>
  <c r="H38" i="3" s="1"/>
  <c r="H37" i="7"/>
  <c r="H37" i="3" s="1"/>
  <c r="B23" i="7"/>
  <c r="C23" i="7"/>
  <c r="E23" i="7"/>
  <c r="F23" i="7"/>
  <c r="B13" i="9"/>
  <c r="E13" i="9"/>
  <c r="C13" i="9"/>
  <c r="F13" i="9"/>
  <c r="C23" i="3"/>
  <c r="E23" i="3"/>
  <c r="F23" i="3"/>
  <c r="B23" i="3"/>
  <c r="B23" i="9"/>
  <c r="C23" i="9"/>
  <c r="E23" i="9"/>
  <c r="F23" i="9"/>
  <c r="F33" i="7"/>
  <c r="H30" i="1"/>
  <c r="H38" i="1" s="1"/>
  <c r="H39" i="1" s="1"/>
  <c r="H41" i="1" s="1"/>
  <c r="B13" i="10"/>
  <c r="B12" i="10" s="1"/>
  <c r="T30" i="1"/>
  <c r="B33" i="3"/>
  <c r="B33" i="9"/>
  <c r="N29" i="1"/>
  <c r="N30" i="2"/>
  <c r="C33" i="3"/>
  <c r="G5" i="7"/>
  <c r="B30" i="1"/>
  <c r="B3" i="10" s="1"/>
  <c r="F30" i="1"/>
  <c r="J33" i="7"/>
  <c r="I33" i="7"/>
  <c r="M33" i="7"/>
  <c r="L33" i="7"/>
  <c r="E13" i="3"/>
  <c r="F13" i="3"/>
  <c r="C13" i="3"/>
  <c r="B13" i="3"/>
  <c r="L13" i="8"/>
  <c r="J13" i="8"/>
  <c r="I13" i="8"/>
  <c r="M13" i="8"/>
  <c r="M33" i="3"/>
  <c r="I33" i="3"/>
  <c r="L33" i="3"/>
  <c r="J33" i="3"/>
  <c r="T60" i="10"/>
  <c r="D8" i="2"/>
  <c r="F23" i="8"/>
  <c r="E23" i="8"/>
  <c r="C23" i="8"/>
  <c r="B23" i="8"/>
  <c r="B5" i="9"/>
  <c r="C33" i="8"/>
  <c r="E33" i="8"/>
  <c r="B33" i="8"/>
  <c r="F33" i="8"/>
  <c r="B32" i="10"/>
  <c r="A16" i="9"/>
  <c r="A15" i="7"/>
  <c r="A16" i="3"/>
  <c r="A17" i="7"/>
  <c r="A16" i="8"/>
  <c r="A18" i="7"/>
  <c r="A14" i="7"/>
  <c r="B18" i="10"/>
  <c r="T38" i="10"/>
  <c r="P20" i="2"/>
  <c r="J30" i="1"/>
  <c r="V30" i="1"/>
  <c r="F20" i="2"/>
  <c r="D30" i="2"/>
  <c r="B28" i="17"/>
  <c r="R30" i="1"/>
  <c r="H31" i="2" l="1"/>
  <c r="R31" i="2"/>
  <c r="T31" i="2"/>
  <c r="P31" i="2"/>
  <c r="F31" i="2"/>
  <c r="J31" i="2"/>
  <c r="B31" i="2"/>
  <c r="D31" i="2"/>
  <c r="I23" i="7"/>
  <c r="J23" i="7"/>
  <c r="M23" i="7"/>
  <c r="M23" i="9"/>
  <c r="L23" i="9"/>
  <c r="D30" i="1"/>
  <c r="C3" i="10" s="1"/>
  <c r="C18" i="10" s="1"/>
  <c r="J23" i="9"/>
  <c r="L31" i="2"/>
  <c r="B6" i="3"/>
  <c r="I16" i="3" s="1"/>
  <c r="L33" i="1"/>
  <c r="L31" i="1"/>
  <c r="B24" i="10"/>
  <c r="L32" i="1"/>
  <c r="L38" i="1"/>
  <c r="L39" i="1" s="1"/>
  <c r="L41" i="1" s="1"/>
  <c r="L45" i="1" s="1"/>
  <c r="A37" i="3"/>
  <c r="A37" i="8"/>
  <c r="L23" i="8"/>
  <c r="M23" i="8"/>
  <c r="I23" i="8"/>
  <c r="E6" i="7"/>
  <c r="B38" i="7" s="1"/>
  <c r="E3" i="10"/>
  <c r="H32" i="1"/>
  <c r="B33" i="1"/>
  <c r="B32" i="1"/>
  <c r="A34" i="9"/>
  <c r="A34" i="3"/>
  <c r="A35" i="9"/>
  <c r="A35" i="3"/>
  <c r="A35" i="8"/>
  <c r="A38" i="8"/>
  <c r="A38" i="3"/>
  <c r="A38" i="9"/>
  <c r="N30" i="1"/>
  <c r="N38" i="1" s="1"/>
  <c r="N39" i="1" s="1"/>
  <c r="N41" i="1" s="1"/>
  <c r="I23" i="3"/>
  <c r="J23" i="3"/>
  <c r="M23" i="3"/>
  <c r="X32" i="1"/>
  <c r="X33" i="1"/>
  <c r="X31" i="1"/>
  <c r="X38" i="1"/>
  <c r="X39" i="1" s="1"/>
  <c r="X41" i="1" s="1"/>
  <c r="X42" i="1" s="1"/>
  <c r="G6" i="3"/>
  <c r="I38" i="3" s="1"/>
  <c r="A24" i="8"/>
  <c r="A24" i="3"/>
  <c r="A24" i="9"/>
  <c r="H18" i="3"/>
  <c r="H18" i="9"/>
  <c r="H18" i="8"/>
  <c r="B6" i="7"/>
  <c r="I16" i="7" s="1"/>
  <c r="H31" i="1"/>
  <c r="H33" i="1"/>
  <c r="A28" i="9"/>
  <c r="A28" i="8"/>
  <c r="A28" i="3"/>
  <c r="H17" i="8"/>
  <c r="H17" i="3"/>
  <c r="H17" i="9"/>
  <c r="H14" i="3"/>
  <c r="H14" i="9"/>
  <c r="H14" i="8"/>
  <c r="A27" i="3"/>
  <c r="A27" i="9"/>
  <c r="A27" i="8"/>
  <c r="H15" i="9"/>
  <c r="H15" i="8"/>
  <c r="H15" i="3"/>
  <c r="B38" i="1"/>
  <c r="B39" i="1" s="1"/>
  <c r="B41" i="1" s="1"/>
  <c r="B45" i="1" s="1"/>
  <c r="B31" i="1"/>
  <c r="A25" i="8"/>
  <c r="A25" i="9"/>
  <c r="A25" i="3"/>
  <c r="V32" i="1"/>
  <c r="V33" i="1"/>
  <c r="G6" i="7"/>
  <c r="L38" i="7" s="1"/>
  <c r="V38" i="1"/>
  <c r="V39" i="1" s="1"/>
  <c r="V41" i="1" s="1"/>
  <c r="V31" i="1"/>
  <c r="R38" i="1"/>
  <c r="R39" i="1" s="1"/>
  <c r="R41" i="1" s="1"/>
  <c r="R33" i="1"/>
  <c r="R31" i="1"/>
  <c r="E6" i="3"/>
  <c r="R32" i="1"/>
  <c r="E24" i="10"/>
  <c r="F6" i="7"/>
  <c r="J33" i="1"/>
  <c r="J38" i="1"/>
  <c r="J39" i="1" s="1"/>
  <c r="J41" i="1" s="1"/>
  <c r="J32" i="1"/>
  <c r="J31" i="1"/>
  <c r="A17" i="9"/>
  <c r="A17" i="8"/>
  <c r="A17" i="3"/>
  <c r="T33" i="1"/>
  <c r="T38" i="1"/>
  <c r="T39" i="1" s="1"/>
  <c r="T41" i="1" s="1"/>
  <c r="T31" i="1"/>
  <c r="F6" i="3"/>
  <c r="T32" i="1"/>
  <c r="B31" i="10"/>
  <c r="B41" i="10"/>
  <c r="B11" i="10"/>
  <c r="P33" i="1"/>
  <c r="P31" i="1"/>
  <c r="P38" i="1"/>
  <c r="P39" i="1" s="1"/>
  <c r="P41" i="1" s="1"/>
  <c r="P32" i="1"/>
  <c r="D24" i="10"/>
  <c r="D6" i="3"/>
  <c r="D16" i="3" s="1"/>
  <c r="A15" i="3"/>
  <c r="A15" i="9"/>
  <c r="A15" i="8"/>
  <c r="T61" i="10"/>
  <c r="B19" i="10"/>
  <c r="N10" i="10"/>
  <c r="H45" i="1"/>
  <c r="H42" i="1"/>
  <c r="H44" i="1"/>
  <c r="D9" i="2"/>
  <c r="C4" i="9"/>
  <c r="C5" i="9" s="1"/>
  <c r="T31" i="10"/>
  <c r="F32" i="1"/>
  <c r="F33" i="1"/>
  <c r="D6" i="7"/>
  <c r="B15" i="7" s="1"/>
  <c r="F31" i="1"/>
  <c r="F38" i="1"/>
  <c r="F39" i="1" s="1"/>
  <c r="F41" i="1" s="1"/>
  <c r="D3" i="10"/>
  <c r="N52" i="10"/>
  <c r="N8" i="2"/>
  <c r="N8" i="1"/>
  <c r="N31" i="2"/>
  <c r="T39" i="10"/>
  <c r="N29" i="10"/>
  <c r="A14" i="9"/>
  <c r="A14" i="8"/>
  <c r="A14" i="3"/>
  <c r="A18" i="3"/>
  <c r="A18" i="8"/>
  <c r="A18" i="9"/>
  <c r="D9" i="1"/>
  <c r="H77" i="10"/>
  <c r="H14" i="10"/>
  <c r="C4" i="7"/>
  <c r="H56" i="10"/>
  <c r="H35" i="10"/>
  <c r="T18" i="10"/>
  <c r="T72" i="10"/>
  <c r="C17" i="10" l="1"/>
  <c r="D38" i="1"/>
  <c r="D39" i="1" s="1"/>
  <c r="D41" i="1" s="1"/>
  <c r="D45" i="1" s="1"/>
  <c r="C6" i="7"/>
  <c r="C12" i="10"/>
  <c r="C13" i="10"/>
  <c r="R12" i="10"/>
  <c r="C15" i="10"/>
  <c r="D32" i="1"/>
  <c r="C14" i="10"/>
  <c r="D33" i="1"/>
  <c r="C16" i="10"/>
  <c r="J16" i="3"/>
  <c r="K16" i="3"/>
  <c r="J18" i="3"/>
  <c r="M16" i="3"/>
  <c r="K14" i="3"/>
  <c r="J37" i="3"/>
  <c r="L15" i="3"/>
  <c r="I14" i="3"/>
  <c r="L16" i="3"/>
  <c r="M18" i="3"/>
  <c r="D37" i="7"/>
  <c r="B34" i="7"/>
  <c r="K17" i="3"/>
  <c r="F38" i="7"/>
  <c r="C38" i="7"/>
  <c r="L42" i="1"/>
  <c r="E16" i="10"/>
  <c r="R9" i="10"/>
  <c r="L44" i="1"/>
  <c r="E32" i="10"/>
  <c r="L30" i="10"/>
  <c r="R11" i="10"/>
  <c r="E14" i="10"/>
  <c r="E15" i="10"/>
  <c r="R8" i="10"/>
  <c r="Q14" i="10"/>
  <c r="R17" i="10"/>
  <c r="R7" i="10"/>
  <c r="E17" i="10"/>
  <c r="R14" i="10"/>
  <c r="I18" i="3"/>
  <c r="K18" i="3"/>
  <c r="J34" i="3"/>
  <c r="C24" i="10"/>
  <c r="C40" i="10" s="1"/>
  <c r="N32" i="1"/>
  <c r="N33" i="1"/>
  <c r="J17" i="3"/>
  <c r="L17" i="3"/>
  <c r="X44" i="1"/>
  <c r="M17" i="3"/>
  <c r="E36" i="7"/>
  <c r="D36" i="7"/>
  <c r="B35" i="7"/>
  <c r="D38" i="7"/>
  <c r="F36" i="7"/>
  <c r="X45" i="1"/>
  <c r="E35" i="7"/>
  <c r="C34" i="7"/>
  <c r="C37" i="7"/>
  <c r="F35" i="7"/>
  <c r="B37" i="7"/>
  <c r="E37" i="7"/>
  <c r="D34" i="7"/>
  <c r="C35" i="7"/>
  <c r="F34" i="7"/>
  <c r="C36" i="7"/>
  <c r="J14" i="3"/>
  <c r="Q10" i="10"/>
  <c r="E38" i="7"/>
  <c r="B36" i="7"/>
  <c r="D35" i="7"/>
  <c r="F37" i="7"/>
  <c r="E34" i="7"/>
  <c r="R16" i="10"/>
  <c r="Q9" i="10"/>
  <c r="I37" i="3"/>
  <c r="Q8" i="10"/>
  <c r="E12" i="10"/>
  <c r="R10" i="10"/>
  <c r="J35" i="3"/>
  <c r="C6" i="3"/>
  <c r="M36" i="3"/>
  <c r="Q11" i="10"/>
  <c r="Q7" i="10"/>
  <c r="R15" i="10"/>
  <c r="Q17" i="10"/>
  <c r="J38" i="3"/>
  <c r="E13" i="10"/>
  <c r="E18" i="10"/>
  <c r="Q12" i="10"/>
  <c r="Q13" i="10"/>
  <c r="R13" i="10"/>
  <c r="Q15" i="10"/>
  <c r="Q16" i="10"/>
  <c r="J36" i="3"/>
  <c r="M38" i="3"/>
  <c r="I34" i="3"/>
  <c r="M15" i="3"/>
  <c r="M14" i="3"/>
  <c r="I15" i="3"/>
  <c r="J15" i="3"/>
  <c r="K15" i="3"/>
  <c r="I38" i="7"/>
  <c r="I35" i="7"/>
  <c r="I37" i="7"/>
  <c r="L36" i="3"/>
  <c r="E35" i="10"/>
  <c r="E14" i="7"/>
  <c r="J38" i="7"/>
  <c r="E37" i="10"/>
  <c r="E34" i="10"/>
  <c r="J36" i="7"/>
  <c r="B18" i="7"/>
  <c r="F14" i="7"/>
  <c r="L35" i="3"/>
  <c r="L36" i="7"/>
  <c r="J35" i="7"/>
  <c r="L37" i="7"/>
  <c r="J37" i="7"/>
  <c r="D36" i="10"/>
  <c r="M34" i="7"/>
  <c r="M35" i="7"/>
  <c r="M36" i="7"/>
  <c r="D33" i="10"/>
  <c r="Q32" i="10"/>
  <c r="E36" i="10"/>
  <c r="F15" i="7"/>
  <c r="B42" i="1"/>
  <c r="J18" i="7"/>
  <c r="L15" i="7"/>
  <c r="J16" i="7"/>
  <c r="I17" i="7"/>
  <c r="I18" i="7"/>
  <c r="K15" i="7"/>
  <c r="I15" i="7"/>
  <c r="J17" i="7"/>
  <c r="K14" i="7"/>
  <c r="M14" i="7"/>
  <c r="J14" i="7"/>
  <c r="M18" i="7"/>
  <c r="B44" i="1"/>
  <c r="L14" i="3"/>
  <c r="F16" i="3"/>
  <c r="K37" i="3"/>
  <c r="K34" i="3"/>
  <c r="M37" i="3"/>
  <c r="K35" i="3"/>
  <c r="O30" i="10"/>
  <c r="M35" i="3"/>
  <c r="D15" i="7"/>
  <c r="C16" i="3"/>
  <c r="L34" i="3"/>
  <c r="M37" i="7"/>
  <c r="I36" i="3"/>
  <c r="D40" i="10"/>
  <c r="L14" i="7"/>
  <c r="M15" i="7"/>
  <c r="K16" i="7"/>
  <c r="J15" i="7"/>
  <c r="L17" i="7"/>
  <c r="I14" i="7"/>
  <c r="M16" i="7"/>
  <c r="D34" i="10"/>
  <c r="B14" i="7"/>
  <c r="D37" i="10"/>
  <c r="D35" i="10"/>
  <c r="I17" i="3"/>
  <c r="K38" i="3"/>
  <c r="C14" i="7"/>
  <c r="L18" i="3"/>
  <c r="J34" i="7"/>
  <c r="K36" i="3"/>
  <c r="I34" i="7"/>
  <c r="L37" i="3"/>
  <c r="S32" i="10"/>
  <c r="M34" i="3"/>
  <c r="E16" i="3"/>
  <c r="L38" i="3"/>
  <c r="M38" i="7"/>
  <c r="I35" i="3"/>
  <c r="E40" i="10"/>
  <c r="L16" i="7"/>
  <c r="K17" i="7"/>
  <c r="L18" i="7"/>
  <c r="K18" i="7"/>
  <c r="M17" i="7"/>
  <c r="D33" i="2"/>
  <c r="C6" i="9"/>
  <c r="C45" i="10"/>
  <c r="D39" i="2"/>
  <c r="D40" i="2" s="1"/>
  <c r="D42" i="2" s="1"/>
  <c r="D43" i="2" s="1"/>
  <c r="D34" i="2"/>
  <c r="B34" i="2"/>
  <c r="B33" i="2"/>
  <c r="B32" i="2"/>
  <c r="B6" i="9"/>
  <c r="B45" i="10"/>
  <c r="B39" i="2"/>
  <c r="B40" i="2" s="1"/>
  <c r="B42" i="2" s="1"/>
  <c r="L14" i="10"/>
  <c r="M16" i="10"/>
  <c r="O17" i="10"/>
  <c r="L16" i="10"/>
  <c r="M17" i="10"/>
  <c r="O16" i="10"/>
  <c r="M19" i="10"/>
  <c r="L13" i="10"/>
  <c r="M21" i="10"/>
  <c r="L18" i="10"/>
  <c r="L19" i="10"/>
  <c r="M14" i="10"/>
  <c r="L17" i="10"/>
  <c r="L15" i="10"/>
  <c r="M13" i="10"/>
  <c r="M15" i="10"/>
  <c r="O19" i="10"/>
  <c r="O18" i="10"/>
  <c r="O12" i="10"/>
  <c r="O14" i="10"/>
  <c r="O20" i="10"/>
  <c r="O13" i="10"/>
  <c r="O15" i="10"/>
  <c r="L20" i="10"/>
  <c r="O21" i="10"/>
  <c r="M20" i="10"/>
  <c r="D13" i="10"/>
  <c r="L21" i="10"/>
  <c r="L12" i="10"/>
  <c r="M12" i="10"/>
  <c r="M18" i="10"/>
  <c r="O11" i="10"/>
  <c r="H36" i="10"/>
  <c r="H34" i="10"/>
  <c r="J34" i="2"/>
  <c r="J33" i="2"/>
  <c r="J32" i="2"/>
  <c r="J39" i="2"/>
  <c r="J40" i="2" s="1"/>
  <c r="J42" i="2" s="1"/>
  <c r="F6" i="9"/>
  <c r="D18" i="10"/>
  <c r="S15" i="10"/>
  <c r="D15" i="10"/>
  <c r="L11" i="10"/>
  <c r="S14" i="10"/>
  <c r="T71" i="10"/>
  <c r="F34" i="2"/>
  <c r="D6" i="9"/>
  <c r="F18" i="9" s="1"/>
  <c r="F39" i="2"/>
  <c r="F40" i="2" s="1"/>
  <c r="F42" i="2" s="1"/>
  <c r="F32" i="2"/>
  <c r="F33" i="2"/>
  <c r="D45" i="10"/>
  <c r="B16" i="7"/>
  <c r="D16" i="7"/>
  <c r="E16" i="7"/>
  <c r="F16" i="7"/>
  <c r="C16" i="7"/>
  <c r="P34" i="2"/>
  <c r="P32" i="2"/>
  <c r="P39" i="2"/>
  <c r="P40" i="2" s="1"/>
  <c r="P42" i="2" s="1"/>
  <c r="D6" i="8"/>
  <c r="B18" i="8" s="1"/>
  <c r="P33" i="2"/>
  <c r="D66" i="10"/>
  <c r="S7" i="10"/>
  <c r="T45" i="1"/>
  <c r="T42" i="1"/>
  <c r="T44" i="1"/>
  <c r="D27" i="7"/>
  <c r="B25" i="7"/>
  <c r="C24" i="7"/>
  <c r="E27" i="7"/>
  <c r="C28" i="7"/>
  <c r="F26" i="7"/>
  <c r="D26" i="7"/>
  <c r="F28" i="7"/>
  <c r="D28" i="7"/>
  <c r="B26" i="7"/>
  <c r="B27" i="7"/>
  <c r="E28" i="7"/>
  <c r="D24" i="7"/>
  <c r="C25" i="7"/>
  <c r="C26" i="7"/>
  <c r="E25" i="7"/>
  <c r="C27" i="7"/>
  <c r="F27" i="7"/>
  <c r="E24" i="7"/>
  <c r="F24" i="7"/>
  <c r="B28" i="7"/>
  <c r="B24" i="7"/>
  <c r="E26" i="7"/>
  <c r="D25" i="7"/>
  <c r="F25" i="7"/>
  <c r="V42" i="1"/>
  <c r="V45" i="1"/>
  <c r="V44" i="1"/>
  <c r="R34" i="2"/>
  <c r="R33" i="2"/>
  <c r="E6" i="8"/>
  <c r="R32" i="2"/>
  <c r="E66" i="10"/>
  <c r="R39" i="2"/>
  <c r="R40" i="2" s="1"/>
  <c r="R42" i="2" s="1"/>
  <c r="S9" i="10"/>
  <c r="C17" i="3"/>
  <c r="D17" i="3"/>
  <c r="F17" i="3"/>
  <c r="E17" i="3"/>
  <c r="B17" i="3"/>
  <c r="F45" i="1"/>
  <c r="F44" i="1"/>
  <c r="F42" i="1"/>
  <c r="P44" i="1"/>
  <c r="P45" i="1"/>
  <c r="P42" i="1"/>
  <c r="N34" i="2"/>
  <c r="C6" i="8"/>
  <c r="C66" i="10"/>
  <c r="N33" i="2"/>
  <c r="N39" i="2"/>
  <c r="N40" i="2" s="1"/>
  <c r="N42" i="2" s="1"/>
  <c r="R42" i="1"/>
  <c r="R44" i="1"/>
  <c r="R45" i="1"/>
  <c r="C18" i="3"/>
  <c r="B18" i="3"/>
  <c r="D18" i="3"/>
  <c r="F18" i="3"/>
  <c r="E18" i="3"/>
  <c r="N9" i="10"/>
  <c r="M10" i="10"/>
  <c r="O10" i="10"/>
  <c r="L10" i="10"/>
  <c r="T30" i="10"/>
  <c r="Q31" i="10"/>
  <c r="S31" i="10"/>
  <c r="C18" i="7"/>
  <c r="B14" i="3"/>
  <c r="C14" i="3"/>
  <c r="E14" i="3"/>
  <c r="F14" i="3"/>
  <c r="D14" i="3"/>
  <c r="D15" i="3"/>
  <c r="C15" i="3"/>
  <c r="B15" i="3"/>
  <c r="F15" i="3"/>
  <c r="E15" i="3"/>
  <c r="C11" i="10"/>
  <c r="B10" i="10"/>
  <c r="E11" i="10"/>
  <c r="D11" i="10"/>
  <c r="D17" i="7"/>
  <c r="Q35" i="10"/>
  <c r="S35" i="10"/>
  <c r="Q37" i="10"/>
  <c r="S34" i="10"/>
  <c r="S37" i="10"/>
  <c r="S36" i="10"/>
  <c r="Q36" i="10"/>
  <c r="Q34" i="10"/>
  <c r="E38" i="10"/>
  <c r="Q33" i="10"/>
  <c r="E33" i="10"/>
  <c r="E39" i="10"/>
  <c r="S33" i="10"/>
  <c r="K36" i="7"/>
  <c r="K35" i="7"/>
  <c r="K38" i="7"/>
  <c r="K37" i="7"/>
  <c r="K34" i="7"/>
  <c r="T40" i="10"/>
  <c r="Q39" i="10"/>
  <c r="S39" i="10"/>
  <c r="B30" i="10"/>
  <c r="D31" i="10"/>
  <c r="E31" i="10"/>
  <c r="M11" i="10"/>
  <c r="D25" i="3"/>
  <c r="D27" i="3"/>
  <c r="B25" i="3"/>
  <c r="C24" i="3"/>
  <c r="F24" i="3"/>
  <c r="E27" i="3"/>
  <c r="C26" i="3"/>
  <c r="D24" i="3"/>
  <c r="E25" i="3"/>
  <c r="F27" i="3"/>
  <c r="B27" i="3"/>
  <c r="C28" i="3"/>
  <c r="E26" i="3"/>
  <c r="B28" i="3"/>
  <c r="E28" i="3"/>
  <c r="B26" i="3"/>
  <c r="C25" i="3"/>
  <c r="C27" i="3"/>
  <c r="E24" i="3"/>
  <c r="D26" i="3"/>
  <c r="D28" i="3"/>
  <c r="F26" i="3"/>
  <c r="F25" i="3"/>
  <c r="F28" i="3"/>
  <c r="B24" i="3"/>
  <c r="D12" i="10"/>
  <c r="H32" i="2"/>
  <c r="E6" i="9"/>
  <c r="H33" i="2"/>
  <c r="H39" i="2"/>
  <c r="H40" i="2" s="1"/>
  <c r="H42" i="2" s="1"/>
  <c r="H34" i="2"/>
  <c r="E45" i="10"/>
  <c r="E17" i="7"/>
  <c r="H57" i="10"/>
  <c r="H55" i="10"/>
  <c r="F18" i="7"/>
  <c r="T34" i="2"/>
  <c r="T32" i="2"/>
  <c r="T39" i="2"/>
  <c r="T40" i="2" s="1"/>
  <c r="T42" i="2" s="1"/>
  <c r="T33" i="2"/>
  <c r="F6" i="8"/>
  <c r="F17" i="7"/>
  <c r="N51" i="10"/>
  <c r="G14" i="10"/>
  <c r="H13" i="10"/>
  <c r="H15" i="10"/>
  <c r="J14" i="10"/>
  <c r="I14" i="10"/>
  <c r="S38" i="10"/>
  <c r="I36" i="7"/>
  <c r="D32" i="2"/>
  <c r="N45" i="1"/>
  <c r="N44" i="1"/>
  <c r="C15" i="7"/>
  <c r="S16" i="10"/>
  <c r="S13" i="10"/>
  <c r="S11" i="10"/>
  <c r="B16" i="3"/>
  <c r="L34" i="7"/>
  <c r="B17" i="7"/>
  <c r="D31" i="1"/>
  <c r="D17" i="10"/>
  <c r="N28" i="10"/>
  <c r="O29" i="10"/>
  <c r="L29" i="10"/>
  <c r="D14" i="10"/>
  <c r="B20" i="10"/>
  <c r="C19" i="10"/>
  <c r="E19" i="10"/>
  <c r="D19" i="10"/>
  <c r="J42" i="1"/>
  <c r="J44" i="1"/>
  <c r="J45" i="1"/>
  <c r="S17" i="10"/>
  <c r="D16" i="10"/>
  <c r="D14" i="7"/>
  <c r="N9" i="1"/>
  <c r="C4" i="3"/>
  <c r="C5" i="3" s="1"/>
  <c r="T62" i="10"/>
  <c r="H26" i="7"/>
  <c r="C5" i="7"/>
  <c r="N9" i="2"/>
  <c r="C4" i="8"/>
  <c r="C5" i="8" s="1"/>
  <c r="L34" i="2"/>
  <c r="L32" i="2"/>
  <c r="B66" i="10"/>
  <c r="L33" i="2"/>
  <c r="L39" i="2"/>
  <c r="L40" i="2" s="1"/>
  <c r="L42" i="2" s="1"/>
  <c r="B6" i="8"/>
  <c r="B42" i="10"/>
  <c r="E41" i="10"/>
  <c r="D41" i="10"/>
  <c r="T19" i="10"/>
  <c r="R18" i="10"/>
  <c r="Q18" i="10"/>
  <c r="S18" i="10"/>
  <c r="E18" i="7"/>
  <c r="H78" i="10"/>
  <c r="H76" i="10"/>
  <c r="D18" i="7"/>
  <c r="Q38" i="10"/>
  <c r="E15" i="7"/>
  <c r="L41" i="10"/>
  <c r="O36" i="10"/>
  <c r="L36" i="10"/>
  <c r="O42" i="10"/>
  <c r="O31" i="10"/>
  <c r="L42" i="10"/>
  <c r="L40" i="10"/>
  <c r="O39" i="10"/>
  <c r="O34" i="10"/>
  <c r="O40" i="10"/>
  <c r="L38" i="10"/>
  <c r="O35" i="10"/>
  <c r="L39" i="10"/>
  <c r="L34" i="10"/>
  <c r="O41" i="10"/>
  <c r="L35" i="10"/>
  <c r="O37" i="10"/>
  <c r="L33" i="10"/>
  <c r="L37" i="10"/>
  <c r="O38" i="10"/>
  <c r="L32" i="10"/>
  <c r="D39" i="10"/>
  <c r="O32" i="10"/>
  <c r="O33" i="10"/>
  <c r="L31" i="10"/>
  <c r="D38" i="10"/>
  <c r="S12" i="10"/>
  <c r="S10" i="10"/>
  <c r="S8" i="10"/>
  <c r="D32" i="10"/>
  <c r="L35" i="7"/>
  <c r="C17" i="7"/>
  <c r="F36" i="3"/>
  <c r="E35" i="3"/>
  <c r="B37" i="3"/>
  <c r="B38" i="3"/>
  <c r="F38" i="3"/>
  <c r="E37" i="3"/>
  <c r="C37" i="3"/>
  <c r="C36" i="3"/>
  <c r="D37" i="3"/>
  <c r="C35" i="3"/>
  <c r="C38" i="3"/>
  <c r="E34" i="3"/>
  <c r="E38" i="3"/>
  <c r="F35" i="3"/>
  <c r="C34" i="3"/>
  <c r="E36" i="3"/>
  <c r="B35" i="3"/>
  <c r="D34" i="3"/>
  <c r="D35" i="3"/>
  <c r="B36" i="3"/>
  <c r="D36" i="3"/>
  <c r="B34" i="3"/>
  <c r="F34" i="3"/>
  <c r="F37" i="3"/>
  <c r="D38" i="3"/>
  <c r="D42" i="1" l="1"/>
  <c r="D44" i="1"/>
  <c r="R39" i="10"/>
  <c r="C37" i="10"/>
  <c r="M29" i="10"/>
  <c r="C38" i="10"/>
  <c r="M33" i="10"/>
  <c r="M31" i="10"/>
  <c r="M35" i="10"/>
  <c r="R34" i="10"/>
  <c r="M41" i="10"/>
  <c r="C34" i="10"/>
  <c r="M37" i="10"/>
  <c r="C31" i="10"/>
  <c r="C35" i="10"/>
  <c r="M32" i="10"/>
  <c r="M36" i="10"/>
  <c r="M34" i="10"/>
  <c r="C41" i="10"/>
  <c r="R37" i="10"/>
  <c r="R36" i="10"/>
  <c r="I35" i="10"/>
  <c r="R31" i="10"/>
  <c r="M38" i="10"/>
  <c r="M40" i="10"/>
  <c r="M39" i="10"/>
  <c r="G35" i="10"/>
  <c r="R38" i="10"/>
  <c r="C33" i="10"/>
  <c r="M42" i="10"/>
  <c r="C39" i="10"/>
  <c r="R33" i="10"/>
  <c r="R35" i="10"/>
  <c r="J35" i="10"/>
  <c r="C36" i="10"/>
  <c r="C32" i="10"/>
  <c r="R32" i="10"/>
  <c r="M30" i="10"/>
  <c r="G56" i="10"/>
  <c r="I56" i="10"/>
  <c r="E17" i="8"/>
  <c r="F14" i="8"/>
  <c r="E18" i="8"/>
  <c r="D18" i="8"/>
  <c r="F15" i="8"/>
  <c r="E14" i="8"/>
  <c r="C14" i="8"/>
  <c r="C18" i="8"/>
  <c r="D15" i="9"/>
  <c r="B18" i="9"/>
  <c r="L52" i="10"/>
  <c r="E17" i="9"/>
  <c r="M52" i="10"/>
  <c r="O52" i="10"/>
  <c r="D14" i="9"/>
  <c r="Q72" i="10"/>
  <c r="G77" i="10"/>
  <c r="R72" i="10"/>
  <c r="E42" i="10"/>
  <c r="C42" i="10"/>
  <c r="D42" i="10"/>
  <c r="C15" i="9"/>
  <c r="E18" i="9"/>
  <c r="E14" i="9"/>
  <c r="B15" i="9"/>
  <c r="N31" i="1"/>
  <c r="N42" i="1"/>
  <c r="R55" i="10"/>
  <c r="Q53" i="10"/>
  <c r="R57" i="10"/>
  <c r="Q55" i="10"/>
  <c r="R56" i="10"/>
  <c r="R53" i="10"/>
  <c r="S53" i="10"/>
  <c r="S49" i="10"/>
  <c r="Q54" i="10"/>
  <c r="Q51" i="10"/>
  <c r="S54" i="10"/>
  <c r="R50" i="10"/>
  <c r="Q57" i="10"/>
  <c r="S51" i="10"/>
  <c r="Q56" i="10"/>
  <c r="S52" i="10"/>
  <c r="R54" i="10"/>
  <c r="R49" i="10"/>
  <c r="S59" i="10"/>
  <c r="R51" i="10"/>
  <c r="Q49" i="10"/>
  <c r="Q52" i="10"/>
  <c r="R58" i="10"/>
  <c r="S55" i="10"/>
  <c r="Q58" i="10"/>
  <c r="S56" i="10"/>
  <c r="R52" i="10"/>
  <c r="S57" i="10"/>
  <c r="S58" i="10"/>
  <c r="S50" i="10"/>
  <c r="Q50" i="10"/>
  <c r="R59" i="10"/>
  <c r="Q59" i="10"/>
  <c r="S60" i="10"/>
  <c r="R60" i="10"/>
  <c r="Q60" i="10"/>
  <c r="O79" i="10"/>
  <c r="M83" i="10"/>
  <c r="M79" i="10"/>
  <c r="M72" i="10"/>
  <c r="L75" i="10"/>
  <c r="L78" i="10"/>
  <c r="L73" i="10"/>
  <c r="L82" i="10"/>
  <c r="M80" i="10"/>
  <c r="M84" i="10"/>
  <c r="O74" i="10"/>
  <c r="O71" i="10"/>
  <c r="M71" i="10"/>
  <c r="M78" i="10"/>
  <c r="M82" i="10"/>
  <c r="O78" i="10"/>
  <c r="L79" i="10"/>
  <c r="L76" i="10"/>
  <c r="L71" i="10"/>
  <c r="M73" i="10"/>
  <c r="L77" i="10"/>
  <c r="O73" i="10"/>
  <c r="L80" i="10"/>
  <c r="O75" i="10"/>
  <c r="O76" i="10"/>
  <c r="O82" i="10"/>
  <c r="L70" i="10"/>
  <c r="L84" i="10"/>
  <c r="O83" i="10"/>
  <c r="O77" i="10"/>
  <c r="M81" i="10"/>
  <c r="M70" i="10"/>
  <c r="O84" i="10"/>
  <c r="O81" i="10"/>
  <c r="M75" i="10"/>
  <c r="M76" i="10"/>
  <c r="O80" i="10"/>
  <c r="L74" i="10"/>
  <c r="L81" i="10"/>
  <c r="L72" i="10"/>
  <c r="L83" i="10"/>
  <c r="O72" i="10"/>
  <c r="O70" i="10"/>
  <c r="M77" i="10"/>
  <c r="M74" i="10"/>
  <c r="K15" i="8"/>
  <c r="K17" i="8"/>
  <c r="K18" i="8"/>
  <c r="K14" i="8"/>
  <c r="K16" i="8"/>
  <c r="M15" i="8"/>
  <c r="I18" i="8"/>
  <c r="J18" i="8"/>
  <c r="L15" i="8"/>
  <c r="M14" i="8"/>
  <c r="M18" i="8"/>
  <c r="M17" i="8"/>
  <c r="M16" i="8"/>
  <c r="I16" i="8"/>
  <c r="J17" i="8"/>
  <c r="I15" i="8"/>
  <c r="L14" i="8"/>
  <c r="I17" i="8"/>
  <c r="L18" i="8"/>
  <c r="I14" i="8"/>
  <c r="J14" i="8"/>
  <c r="L17" i="8"/>
  <c r="J15" i="8"/>
  <c r="J16" i="8"/>
  <c r="L16" i="8"/>
  <c r="I26" i="7"/>
  <c r="H24" i="7"/>
  <c r="H26" i="9"/>
  <c r="H26" i="3"/>
  <c r="H28" i="7"/>
  <c r="H27" i="7"/>
  <c r="J26" i="7"/>
  <c r="L26" i="7"/>
  <c r="H26" i="8"/>
  <c r="M26" i="7"/>
  <c r="H25" i="7"/>
  <c r="K26" i="7"/>
  <c r="D16" i="8"/>
  <c r="C16" i="8"/>
  <c r="E16" i="8"/>
  <c r="F16" i="8"/>
  <c r="B16" i="8"/>
  <c r="T41" i="10"/>
  <c r="R40" i="10"/>
  <c r="Q40" i="10"/>
  <c r="S40" i="10"/>
  <c r="F16" i="9"/>
  <c r="D16" i="9"/>
  <c r="B16" i="9"/>
  <c r="C16" i="9"/>
  <c r="E16" i="9"/>
  <c r="C14" i="9"/>
  <c r="N50" i="10"/>
  <c r="O51" i="10"/>
  <c r="L51" i="10"/>
  <c r="M51" i="10"/>
  <c r="R45" i="2"/>
  <c r="R46" i="2"/>
  <c r="R43" i="2"/>
  <c r="F24" i="9"/>
  <c r="B26" i="9"/>
  <c r="C26" i="9"/>
  <c r="F28" i="9"/>
  <c r="E25" i="9"/>
  <c r="E27" i="9"/>
  <c r="B28" i="9"/>
  <c r="B25" i="9"/>
  <c r="B24" i="9"/>
  <c r="E26" i="9"/>
  <c r="D27" i="9"/>
  <c r="F27" i="9"/>
  <c r="C27" i="9"/>
  <c r="F25" i="9"/>
  <c r="D28" i="9"/>
  <c r="E28" i="9"/>
  <c r="D26" i="9"/>
  <c r="D25" i="9"/>
  <c r="C25" i="9"/>
  <c r="C24" i="9"/>
  <c r="E24" i="9"/>
  <c r="F26" i="9"/>
  <c r="C28" i="9"/>
  <c r="D24" i="9"/>
  <c r="B27" i="9"/>
  <c r="R61" i="10"/>
  <c r="N8" i="10"/>
  <c r="M9" i="10"/>
  <c r="O9" i="10"/>
  <c r="L9" i="10"/>
  <c r="P46" i="2"/>
  <c r="P45" i="2"/>
  <c r="P43" i="2"/>
  <c r="O61" i="10"/>
  <c r="M60" i="10"/>
  <c r="L62" i="10"/>
  <c r="O62" i="10"/>
  <c r="O60" i="10"/>
  <c r="O55" i="10"/>
  <c r="O59" i="10"/>
  <c r="M56" i="10"/>
  <c r="L58" i="10"/>
  <c r="M61" i="10"/>
  <c r="M63" i="10"/>
  <c r="M58" i="10"/>
  <c r="L59" i="10"/>
  <c r="M55" i="10"/>
  <c r="O57" i="10"/>
  <c r="L55" i="10"/>
  <c r="L61" i="10"/>
  <c r="O58" i="10"/>
  <c r="L57" i="10"/>
  <c r="O56" i="10"/>
  <c r="M57" i="10"/>
  <c r="M59" i="10"/>
  <c r="O63" i="10"/>
  <c r="L63" i="10"/>
  <c r="L56" i="10"/>
  <c r="M62" i="10"/>
  <c r="L60" i="10"/>
  <c r="M54" i="10"/>
  <c r="O54" i="10"/>
  <c r="L54" i="10"/>
  <c r="L53" i="10"/>
  <c r="M53" i="10"/>
  <c r="O53" i="10"/>
  <c r="J46" i="2"/>
  <c r="J45" i="2"/>
  <c r="J43" i="2"/>
  <c r="H37" i="10"/>
  <c r="J36" i="10"/>
  <c r="G36" i="10"/>
  <c r="I36" i="10"/>
  <c r="D46" i="2"/>
  <c r="D45" i="2"/>
  <c r="D17" i="9"/>
  <c r="D18" i="9"/>
  <c r="I77" i="10"/>
  <c r="C15" i="8"/>
  <c r="D28" i="8"/>
  <c r="D27" i="8"/>
  <c r="D26" i="8"/>
  <c r="D24" i="8"/>
  <c r="D25" i="8"/>
  <c r="F27" i="8"/>
  <c r="E28" i="8"/>
  <c r="B26" i="8"/>
  <c r="B27" i="8"/>
  <c r="E27" i="8"/>
  <c r="C26" i="8"/>
  <c r="B28" i="8"/>
  <c r="C24" i="8"/>
  <c r="F24" i="8"/>
  <c r="E24" i="8"/>
  <c r="C28" i="8"/>
  <c r="F25" i="8"/>
  <c r="E25" i="8"/>
  <c r="C25" i="8"/>
  <c r="B24" i="8"/>
  <c r="B25" i="8"/>
  <c r="E26" i="8"/>
  <c r="F26" i="8"/>
  <c r="C27" i="8"/>
  <c r="F28" i="8"/>
  <c r="D17" i="8"/>
  <c r="N45" i="2"/>
  <c r="N46" i="2"/>
  <c r="T70" i="10"/>
  <c r="R71" i="10"/>
  <c r="S71" i="10"/>
  <c r="Q71" i="10"/>
  <c r="B45" i="2"/>
  <c r="B46" i="2"/>
  <c r="B43" i="2"/>
  <c r="H79" i="10"/>
  <c r="J78" i="10"/>
  <c r="G78" i="10"/>
  <c r="I78" i="10"/>
  <c r="N32" i="2"/>
  <c r="N43" i="2"/>
  <c r="F17" i="9"/>
  <c r="J34" i="10"/>
  <c r="H33" i="10"/>
  <c r="G34" i="10"/>
  <c r="I34" i="10"/>
  <c r="H46" i="2"/>
  <c r="H43" i="2"/>
  <c r="H45" i="2"/>
  <c r="E15" i="9"/>
  <c r="B17" i="8"/>
  <c r="R84" i="10"/>
  <c r="R81" i="10"/>
  <c r="R77" i="10"/>
  <c r="R83" i="10"/>
  <c r="Q81" i="10"/>
  <c r="Q77" i="10"/>
  <c r="R78" i="10"/>
  <c r="Q84" i="10"/>
  <c r="Q83" i="10"/>
  <c r="S80" i="10"/>
  <c r="R82" i="10"/>
  <c r="Q79" i="10"/>
  <c r="Q76" i="10"/>
  <c r="S77" i="10"/>
  <c r="R79" i="10"/>
  <c r="Q80" i="10"/>
  <c r="S76" i="10"/>
  <c r="Q78" i="10"/>
  <c r="S84" i="10"/>
  <c r="S79" i="10"/>
  <c r="S82" i="10"/>
  <c r="R80" i="10"/>
  <c r="S81" i="10"/>
  <c r="R74" i="10"/>
  <c r="S78" i="10"/>
  <c r="Q82" i="10"/>
  <c r="S83" i="10"/>
  <c r="R76" i="10"/>
  <c r="S75" i="10"/>
  <c r="S74" i="10"/>
  <c r="Q74" i="10"/>
  <c r="R75" i="10"/>
  <c r="Q75" i="10"/>
  <c r="R73" i="10"/>
  <c r="Q73" i="10"/>
  <c r="S73" i="10"/>
  <c r="T20" i="10"/>
  <c r="R19" i="10"/>
  <c r="S19" i="10"/>
  <c r="Q19" i="10"/>
  <c r="J15" i="10"/>
  <c r="H16" i="10"/>
  <c r="I15" i="10"/>
  <c r="G15" i="10"/>
  <c r="D35" i="9"/>
  <c r="B35" i="9"/>
  <c r="F38" i="9"/>
  <c r="D38" i="9"/>
  <c r="F34" i="9"/>
  <c r="D36" i="9"/>
  <c r="F35" i="9"/>
  <c r="B38" i="9"/>
  <c r="C38" i="9"/>
  <c r="F37" i="9"/>
  <c r="B37" i="9"/>
  <c r="B34" i="9"/>
  <c r="C37" i="9"/>
  <c r="C34" i="9"/>
  <c r="E36" i="9"/>
  <c r="C36" i="9"/>
  <c r="D37" i="9"/>
  <c r="C35" i="9"/>
  <c r="E38" i="9"/>
  <c r="D34" i="9"/>
  <c r="E37" i="9"/>
  <c r="B36" i="9"/>
  <c r="E35" i="9"/>
  <c r="F36" i="9"/>
  <c r="E34" i="9"/>
  <c r="J77" i="10"/>
  <c r="Q61" i="10"/>
  <c r="H12" i="10"/>
  <c r="G13" i="10"/>
  <c r="J13" i="10"/>
  <c r="I13" i="10"/>
  <c r="D37" i="8"/>
  <c r="D36" i="8"/>
  <c r="D35" i="8"/>
  <c r="D38" i="8"/>
  <c r="D34" i="8"/>
  <c r="C36" i="8"/>
  <c r="F38" i="8"/>
  <c r="B37" i="8"/>
  <c r="E36" i="8"/>
  <c r="E38" i="8"/>
  <c r="B35" i="8"/>
  <c r="E34" i="8"/>
  <c r="F36" i="8"/>
  <c r="C37" i="8"/>
  <c r="F34" i="8"/>
  <c r="B34" i="8"/>
  <c r="B36" i="8"/>
  <c r="B38" i="8"/>
  <c r="E37" i="8"/>
  <c r="C34" i="8"/>
  <c r="F35" i="8"/>
  <c r="F37" i="8"/>
  <c r="E35" i="8"/>
  <c r="C35" i="8"/>
  <c r="C38" i="8"/>
  <c r="E56" i="10"/>
  <c r="C56" i="10"/>
  <c r="E62" i="10"/>
  <c r="C57" i="10"/>
  <c r="C58" i="10"/>
  <c r="E54" i="10"/>
  <c r="E59" i="10"/>
  <c r="E58" i="10"/>
  <c r="C53" i="10"/>
  <c r="D49" i="10"/>
  <c r="D50" i="10"/>
  <c r="C54" i="10"/>
  <c r="E50" i="10"/>
  <c r="C62" i="10"/>
  <c r="D55" i="10"/>
  <c r="C60" i="10"/>
  <c r="C59" i="10"/>
  <c r="C49" i="10"/>
  <c r="E51" i="10"/>
  <c r="D56" i="10"/>
  <c r="D52" i="10"/>
  <c r="E52" i="10"/>
  <c r="D58" i="10"/>
  <c r="D53" i="10"/>
  <c r="E57" i="10"/>
  <c r="E49" i="10"/>
  <c r="D62" i="10"/>
  <c r="D57" i="10"/>
  <c r="D59" i="10"/>
  <c r="E55" i="10"/>
  <c r="D61" i="10"/>
  <c r="C63" i="10"/>
  <c r="C61" i="10"/>
  <c r="E63" i="10"/>
  <c r="C55" i="10"/>
  <c r="E60" i="10"/>
  <c r="D63" i="10"/>
  <c r="D54" i="10"/>
  <c r="D51" i="10"/>
  <c r="E61" i="10"/>
  <c r="D60" i="10"/>
  <c r="C50" i="10"/>
  <c r="C52" i="10"/>
  <c r="C51" i="10"/>
  <c r="E53" i="10"/>
  <c r="C20" i="10"/>
  <c r="B21" i="10"/>
  <c r="E20" i="10"/>
  <c r="D20" i="10"/>
  <c r="R30" i="10"/>
  <c r="T29" i="10"/>
  <c r="S30" i="10"/>
  <c r="Q30" i="10"/>
  <c r="L46" i="2"/>
  <c r="L45" i="2"/>
  <c r="L43" i="2"/>
  <c r="C17" i="9"/>
  <c r="B9" i="10"/>
  <c r="C10" i="10"/>
  <c r="E10" i="10"/>
  <c r="D10" i="10"/>
  <c r="C18" i="9"/>
  <c r="S72" i="10"/>
  <c r="D15" i="8"/>
  <c r="B17" i="9"/>
  <c r="B29" i="10"/>
  <c r="E30" i="10"/>
  <c r="C30" i="10"/>
  <c r="D30" i="10"/>
  <c r="F15" i="9"/>
  <c r="C74" i="10"/>
  <c r="E79" i="10"/>
  <c r="E74" i="10"/>
  <c r="E70" i="10"/>
  <c r="E71" i="10"/>
  <c r="E72" i="10"/>
  <c r="E81" i="10"/>
  <c r="E73" i="10"/>
  <c r="E82" i="10"/>
  <c r="C77" i="10"/>
  <c r="D80" i="10"/>
  <c r="C78" i="10"/>
  <c r="C79" i="10"/>
  <c r="E80" i="10"/>
  <c r="D78" i="10"/>
  <c r="D76" i="10"/>
  <c r="C80" i="10"/>
  <c r="C84" i="10"/>
  <c r="E76" i="10"/>
  <c r="D84" i="10"/>
  <c r="D70" i="10"/>
  <c r="D75" i="10"/>
  <c r="E78" i="10"/>
  <c r="E75" i="10"/>
  <c r="C83" i="10"/>
  <c r="C70" i="10"/>
  <c r="E84" i="10"/>
  <c r="D79" i="10"/>
  <c r="C82" i="10"/>
  <c r="C71" i="10"/>
  <c r="D74" i="10"/>
  <c r="C76" i="10"/>
  <c r="D71" i="10"/>
  <c r="C81" i="10"/>
  <c r="E83" i="10"/>
  <c r="D77" i="10"/>
  <c r="C75" i="10"/>
  <c r="D83" i="10"/>
  <c r="D73" i="10"/>
  <c r="D82" i="10"/>
  <c r="C73" i="10"/>
  <c r="E77" i="10"/>
  <c r="C72" i="10"/>
  <c r="D81" i="10"/>
  <c r="D72" i="10"/>
  <c r="S61" i="10"/>
  <c r="M28" i="10"/>
  <c r="O28" i="10"/>
  <c r="L28" i="10"/>
  <c r="J56" i="10"/>
  <c r="F14" i="9"/>
  <c r="B15" i="8"/>
  <c r="D14" i="8"/>
  <c r="H54" i="10"/>
  <c r="J55" i="10"/>
  <c r="G55" i="10"/>
  <c r="I55" i="10"/>
  <c r="F17" i="8"/>
  <c r="B14" i="9"/>
  <c r="H75" i="10"/>
  <c r="J76" i="10"/>
  <c r="G76" i="10"/>
  <c r="I76" i="10"/>
  <c r="T63" i="10"/>
  <c r="R62" i="10"/>
  <c r="Q62" i="10"/>
  <c r="S62" i="10"/>
  <c r="E15" i="8"/>
  <c r="B14" i="8"/>
  <c r="T45" i="2"/>
  <c r="T46" i="2"/>
  <c r="T43" i="2"/>
  <c r="H58" i="10"/>
  <c r="J57" i="10"/>
  <c r="G57" i="10"/>
  <c r="I57" i="10"/>
  <c r="F18" i="8"/>
  <c r="C17" i="8"/>
  <c r="F43" i="2"/>
  <c r="F45" i="2"/>
  <c r="F46" i="2"/>
  <c r="L14" i="9"/>
  <c r="L18" i="9"/>
  <c r="J17" i="9"/>
  <c r="L16" i="9"/>
  <c r="K16" i="9"/>
  <c r="I18" i="9"/>
  <c r="I16" i="9"/>
  <c r="J15" i="9"/>
  <c r="J14" i="9"/>
  <c r="L17" i="9"/>
  <c r="M16" i="9"/>
  <c r="K18" i="9"/>
  <c r="I17" i="9"/>
  <c r="J16" i="9"/>
  <c r="I15" i="9"/>
  <c r="K15" i="9"/>
  <c r="L15" i="9"/>
  <c r="K14" i="9"/>
  <c r="M17" i="9"/>
  <c r="J18" i="9"/>
  <c r="K17" i="9"/>
  <c r="I14" i="9"/>
  <c r="M15" i="9"/>
  <c r="M18" i="9"/>
  <c r="M14" i="9"/>
  <c r="N7" i="10" l="1"/>
  <c r="L8" i="10"/>
  <c r="M8" i="10"/>
  <c r="O8" i="10"/>
  <c r="M28" i="7"/>
  <c r="H28" i="9"/>
  <c r="I28" i="7"/>
  <c r="J28" i="7"/>
  <c r="K28" i="7"/>
  <c r="L28" i="7"/>
  <c r="H28" i="8"/>
  <c r="H28" i="3"/>
  <c r="N49" i="10"/>
  <c r="O50" i="10"/>
  <c r="M50" i="10"/>
  <c r="L50" i="10"/>
  <c r="H53" i="10"/>
  <c r="J54" i="10"/>
  <c r="I54" i="10"/>
  <c r="G54" i="10"/>
  <c r="Q29" i="10"/>
  <c r="T28" i="10"/>
  <c r="R29" i="10"/>
  <c r="S29" i="10"/>
  <c r="J26" i="9"/>
  <c r="M26" i="9"/>
  <c r="L26" i="9"/>
  <c r="I26" i="9"/>
  <c r="K26" i="9"/>
  <c r="C9" i="10"/>
  <c r="B8" i="10"/>
  <c r="E9" i="10"/>
  <c r="D9" i="10"/>
  <c r="H24" i="8"/>
  <c r="M24" i="7"/>
  <c r="H24" i="3"/>
  <c r="I24" i="7"/>
  <c r="H24" i="9"/>
  <c r="L24" i="7"/>
  <c r="J24" i="7"/>
  <c r="K24" i="7"/>
  <c r="J26" i="8"/>
  <c r="I26" i="8"/>
  <c r="K26" i="8"/>
  <c r="M26" i="8"/>
  <c r="L26" i="8"/>
  <c r="H80" i="10"/>
  <c r="G79" i="10"/>
  <c r="I79" i="10"/>
  <c r="J79" i="10"/>
  <c r="H38" i="10"/>
  <c r="J37" i="10"/>
  <c r="G37" i="10"/>
  <c r="I37" i="10"/>
  <c r="H11" i="10"/>
  <c r="G12" i="10"/>
  <c r="J12" i="10"/>
  <c r="I12" i="10"/>
  <c r="I26" i="3"/>
  <c r="M26" i="3"/>
  <c r="J26" i="3"/>
  <c r="K26" i="3"/>
  <c r="L26" i="3"/>
  <c r="M25" i="7"/>
  <c r="J25" i="7"/>
  <c r="L25" i="7"/>
  <c r="H25" i="8"/>
  <c r="I25" i="7"/>
  <c r="H25" i="3"/>
  <c r="K25" i="7"/>
  <c r="H25" i="9"/>
  <c r="H74" i="10"/>
  <c r="G75" i="10"/>
  <c r="J75" i="10"/>
  <c r="I75" i="10"/>
  <c r="B28" i="10"/>
  <c r="C29" i="10"/>
  <c r="E29" i="10"/>
  <c r="D29" i="10"/>
  <c r="H59" i="10"/>
  <c r="I58" i="10"/>
  <c r="G58" i="10"/>
  <c r="J58" i="10"/>
  <c r="C21" i="10"/>
  <c r="E21" i="10"/>
  <c r="D21" i="10"/>
  <c r="H32" i="10"/>
  <c r="J33" i="10"/>
  <c r="G33" i="10"/>
  <c r="I33" i="10"/>
  <c r="T42" i="10"/>
  <c r="R41" i="10"/>
  <c r="Q41" i="10"/>
  <c r="S41" i="10"/>
  <c r="T21" i="10"/>
  <c r="R20" i="10"/>
  <c r="Q20" i="10"/>
  <c r="S20" i="10"/>
  <c r="R63" i="10"/>
  <c r="Q63" i="10"/>
  <c r="S63" i="10"/>
  <c r="J16" i="10"/>
  <c r="G16" i="10"/>
  <c r="I16" i="10"/>
  <c r="H17" i="10"/>
  <c r="S70" i="10"/>
  <c r="R70" i="10"/>
  <c r="Q70" i="10"/>
  <c r="I27" i="7"/>
  <c r="H27" i="9"/>
  <c r="H27" i="8"/>
  <c r="L27" i="7"/>
  <c r="K27" i="7"/>
  <c r="J27" i="7"/>
  <c r="M27" i="7"/>
  <c r="H27" i="3"/>
  <c r="H73" i="10" l="1"/>
  <c r="J74" i="10"/>
  <c r="I74" i="10"/>
  <c r="G74" i="10"/>
  <c r="H31" i="10"/>
  <c r="I32" i="10"/>
  <c r="J32" i="10"/>
  <c r="G32" i="10"/>
  <c r="L25" i="9"/>
  <c r="K25" i="9"/>
  <c r="I25" i="9"/>
  <c r="J25" i="9"/>
  <c r="M25" i="9"/>
  <c r="C8" i="10"/>
  <c r="B7" i="10"/>
  <c r="D8" i="10"/>
  <c r="E8" i="10"/>
  <c r="J27" i="9"/>
  <c r="L27" i="9"/>
  <c r="I27" i="9"/>
  <c r="K27" i="9"/>
  <c r="M27" i="9"/>
  <c r="R28" i="10"/>
  <c r="Q28" i="10"/>
  <c r="S28" i="10"/>
  <c r="M27" i="8"/>
  <c r="K27" i="8"/>
  <c r="L27" i="8"/>
  <c r="I27" i="8"/>
  <c r="J27" i="8"/>
  <c r="S21" i="10"/>
  <c r="R21" i="10"/>
  <c r="Q21" i="10"/>
  <c r="H81" i="10"/>
  <c r="J80" i="10"/>
  <c r="G80" i="10"/>
  <c r="I80" i="10"/>
  <c r="H60" i="10"/>
  <c r="J59" i="10"/>
  <c r="G59" i="10"/>
  <c r="I59" i="10"/>
  <c r="H10" i="10"/>
  <c r="J11" i="10"/>
  <c r="G11" i="10"/>
  <c r="I11" i="10"/>
  <c r="M24" i="9"/>
  <c r="J24" i="9"/>
  <c r="I24" i="9"/>
  <c r="K24" i="9"/>
  <c r="L24" i="9"/>
  <c r="M28" i="9"/>
  <c r="L28" i="9"/>
  <c r="K28" i="9"/>
  <c r="I28" i="9"/>
  <c r="J28" i="9"/>
  <c r="L25" i="3"/>
  <c r="K25" i="3"/>
  <c r="I25" i="3"/>
  <c r="J25" i="3"/>
  <c r="M25" i="3"/>
  <c r="M49" i="10"/>
  <c r="L49" i="10"/>
  <c r="O49" i="10"/>
  <c r="J27" i="3"/>
  <c r="M27" i="3"/>
  <c r="I27" i="3"/>
  <c r="K27" i="3"/>
  <c r="L27" i="3"/>
  <c r="E28" i="10"/>
  <c r="C28" i="10"/>
  <c r="D28" i="10"/>
  <c r="K24" i="3"/>
  <c r="M24" i="3"/>
  <c r="L24" i="3"/>
  <c r="J24" i="3"/>
  <c r="I24" i="3"/>
  <c r="L28" i="3"/>
  <c r="I28" i="3"/>
  <c r="M28" i="3"/>
  <c r="K28" i="3"/>
  <c r="J28" i="3"/>
  <c r="R42" i="10"/>
  <c r="Q42" i="10"/>
  <c r="S42" i="10"/>
  <c r="L25" i="8"/>
  <c r="K25" i="8"/>
  <c r="I25" i="8"/>
  <c r="J25" i="8"/>
  <c r="M25" i="8"/>
  <c r="H39" i="10"/>
  <c r="G38" i="10"/>
  <c r="J38" i="10"/>
  <c r="I38" i="10"/>
  <c r="I28" i="8"/>
  <c r="K28" i="8"/>
  <c r="M28" i="8"/>
  <c r="J28" i="8"/>
  <c r="L28" i="8"/>
  <c r="M24" i="8"/>
  <c r="L24" i="8"/>
  <c r="I24" i="8"/>
  <c r="K24" i="8"/>
  <c r="J24" i="8"/>
  <c r="G17" i="10"/>
  <c r="J17" i="10"/>
  <c r="I17" i="10"/>
  <c r="H18" i="10"/>
  <c r="H52" i="10"/>
  <c r="G53" i="10"/>
  <c r="I53" i="10"/>
  <c r="J53" i="10"/>
  <c r="L7" i="10"/>
  <c r="O7" i="10"/>
  <c r="M7" i="10"/>
  <c r="H61" i="10" l="1"/>
  <c r="G60" i="10"/>
  <c r="J60" i="10"/>
  <c r="I60" i="10"/>
  <c r="H30" i="10"/>
  <c r="J31" i="10"/>
  <c r="G31" i="10"/>
  <c r="I31" i="10"/>
  <c r="I18" i="10"/>
  <c r="H19" i="10"/>
  <c r="J18" i="10"/>
  <c r="G18" i="10"/>
  <c r="C7" i="10"/>
  <c r="E7" i="10"/>
  <c r="D7" i="10"/>
  <c r="H51" i="10"/>
  <c r="J52" i="10"/>
  <c r="I52" i="10"/>
  <c r="G52" i="10"/>
  <c r="J39" i="10"/>
  <c r="H40" i="10"/>
  <c r="G39" i="10"/>
  <c r="I39" i="10"/>
  <c r="G10" i="10"/>
  <c r="J10" i="10"/>
  <c r="H9" i="10"/>
  <c r="I10" i="10"/>
  <c r="H82" i="10"/>
  <c r="G81" i="10"/>
  <c r="J81" i="10"/>
  <c r="I81" i="10"/>
  <c r="H72" i="10"/>
  <c r="J73" i="10"/>
  <c r="I73" i="10"/>
  <c r="G73" i="10"/>
  <c r="H71" i="10" l="1"/>
  <c r="G72" i="10"/>
  <c r="J72" i="10"/>
  <c r="I72" i="10"/>
  <c r="H50" i="10"/>
  <c r="G51" i="10"/>
  <c r="J51" i="10"/>
  <c r="I51" i="10"/>
  <c r="H41" i="10"/>
  <c r="J40" i="10"/>
  <c r="I40" i="10"/>
  <c r="G40" i="10"/>
  <c r="H29" i="10"/>
  <c r="J30" i="10"/>
  <c r="G30" i="10"/>
  <c r="I30" i="10"/>
  <c r="H83" i="10"/>
  <c r="G82" i="10"/>
  <c r="J82" i="10"/>
  <c r="I82" i="10"/>
  <c r="J9" i="10"/>
  <c r="I9" i="10"/>
  <c r="G9" i="10"/>
  <c r="H8" i="10"/>
  <c r="H20" i="10"/>
  <c r="J19" i="10"/>
  <c r="G19" i="10"/>
  <c r="I19" i="10"/>
  <c r="H62" i="10"/>
  <c r="I61" i="10"/>
  <c r="J61" i="10"/>
  <c r="G61" i="10"/>
  <c r="H7" i="10" l="1"/>
  <c r="I8" i="10"/>
  <c r="G8" i="10"/>
  <c r="J8" i="10"/>
  <c r="H63" i="10"/>
  <c r="J62" i="10"/>
  <c r="G62" i="10"/>
  <c r="I62" i="10"/>
  <c r="H28" i="10"/>
  <c r="J29" i="10"/>
  <c r="G29" i="10"/>
  <c r="I29" i="10"/>
  <c r="H49" i="10"/>
  <c r="G50" i="10"/>
  <c r="J50" i="10"/>
  <c r="I50" i="10"/>
  <c r="G20" i="10"/>
  <c r="I20" i="10"/>
  <c r="H21" i="10"/>
  <c r="J20" i="10"/>
  <c r="H84" i="10"/>
  <c r="G83" i="10"/>
  <c r="J83" i="10"/>
  <c r="I83" i="10"/>
  <c r="H42" i="10"/>
  <c r="J41" i="10"/>
  <c r="G41" i="10"/>
  <c r="I41" i="10"/>
  <c r="H70" i="10"/>
  <c r="G71" i="10"/>
  <c r="I71" i="10"/>
  <c r="J71" i="10"/>
  <c r="G70" i="10" l="1"/>
  <c r="I70" i="10"/>
  <c r="J70" i="10"/>
  <c r="G21" i="10"/>
  <c r="J21" i="10"/>
  <c r="I21" i="10"/>
  <c r="J84" i="10"/>
  <c r="I84" i="10"/>
  <c r="G84" i="10"/>
  <c r="G49" i="10"/>
  <c r="J49" i="10"/>
  <c r="I49" i="10"/>
  <c r="G63" i="10"/>
  <c r="I63" i="10"/>
  <c r="J63" i="10"/>
  <c r="J42" i="10"/>
  <c r="G42" i="10"/>
  <c r="I42" i="10"/>
  <c r="J28" i="10"/>
  <c r="G28" i="10"/>
  <c r="I28" i="10"/>
  <c r="G7" i="10"/>
  <c r="I7" i="10"/>
  <c r="J7" i="10"/>
</calcChain>
</file>

<file path=xl/sharedStrings.xml><?xml version="1.0" encoding="utf-8"?>
<sst xmlns="http://schemas.openxmlformats.org/spreadsheetml/2006/main" count="793" uniqueCount="196">
  <si>
    <t>IRRIGATED</t>
  </si>
  <si>
    <t>NON-IRRIGATED</t>
  </si>
  <si>
    <t>Cotton</t>
  </si>
  <si>
    <t>Peanuts</t>
  </si>
  <si>
    <t>Corn</t>
  </si>
  <si>
    <t>Soybeans</t>
  </si>
  <si>
    <t>Sorghum</t>
  </si>
  <si>
    <t>Wheat</t>
  </si>
  <si>
    <t>BWEP</t>
  </si>
  <si>
    <t>Chemicals</t>
  </si>
  <si>
    <t>Scouting</t>
  </si>
  <si>
    <t>Repairs and Maintenance</t>
  </si>
  <si>
    <t>Irrigation</t>
  </si>
  <si>
    <t>Labor</t>
  </si>
  <si>
    <t>Insurance</t>
  </si>
  <si>
    <t>Drying and Cleaning</t>
  </si>
  <si>
    <t>Other</t>
  </si>
  <si>
    <t>Interest on Operating Capital</t>
  </si>
  <si>
    <t>Marketing and Fees</t>
  </si>
  <si>
    <t>Machinery and Equipment</t>
  </si>
  <si>
    <t>Buildings</t>
  </si>
  <si>
    <t>Miscellaneous Overhead</t>
  </si>
  <si>
    <t>Int Mgmt</t>
  </si>
  <si>
    <t>Grain</t>
  </si>
  <si>
    <t xml:space="preserve">Seed </t>
  </si>
  <si>
    <t>Conventional Tillage</t>
  </si>
  <si>
    <t>Strip-Tillage</t>
  </si>
  <si>
    <t>Fertilizer &amp; Lime*</t>
  </si>
  <si>
    <t>Fuel and Lube**</t>
  </si>
  <si>
    <t>Irrigation***</t>
  </si>
  <si>
    <t>Cover Crop Seed*</t>
  </si>
  <si>
    <t>Fertilizer &amp; Lime**</t>
  </si>
  <si>
    <t>Fuel and Lube***</t>
  </si>
  <si>
    <t>Irrigation****</t>
  </si>
  <si>
    <t>BREAKEVEN PRICE (Total Costs)</t>
  </si>
  <si>
    <t>By A.R. Smith, N.B. Smith and W.D. Shurley, UGA Extension Economists, Department of Agricultural &amp; Applied Economics</t>
  </si>
  <si>
    <t>NET RETURNS ABOVE VARIABLE COSTS PER ACRE</t>
  </si>
  <si>
    <t>Average</t>
  </si>
  <si>
    <t>+10%</t>
  </si>
  <si>
    <t>+25%</t>
  </si>
  <si>
    <t>Crop</t>
  </si>
  <si>
    <t>Yield</t>
  </si>
  <si>
    <t>Price</t>
  </si>
  <si>
    <t>TVC</t>
  </si>
  <si>
    <t>Revenue</t>
  </si>
  <si>
    <t>Irrigated</t>
  </si>
  <si>
    <t>Non-irrigated</t>
  </si>
  <si>
    <t>Irrigated Corn</t>
  </si>
  <si>
    <t>Irrigated Grain Sorghum</t>
  </si>
  <si>
    <t>Irrigated Soybeans</t>
  </si>
  <si>
    <t>Irrigated Cotton</t>
  </si>
  <si>
    <t>Dryland Corn</t>
  </si>
  <si>
    <t>Dryland Cotton</t>
  </si>
  <si>
    <t>Dryland Soybeans</t>
  </si>
  <si>
    <t>Dryland Grain Sorghum</t>
  </si>
  <si>
    <t>Irrigated Corn, Strip Till</t>
  </si>
  <si>
    <t>Irrigated Cotton, Strip Till</t>
  </si>
  <si>
    <t>Irrigated Grain Sorghum, Strip Till</t>
  </si>
  <si>
    <t>Irrigated Soybeans, Strip Till</t>
  </si>
  <si>
    <t>Dryland Corn, Strip Till</t>
  </si>
  <si>
    <t>Dryland Grain Sorghum, Strip Till</t>
  </si>
  <si>
    <t>Dryland Soybeans, Strip Till</t>
  </si>
  <si>
    <t>Dryland Cotton, Strip Till</t>
  </si>
  <si>
    <t>Conventional Wheat</t>
  </si>
  <si>
    <t>Intensively Managed Wheat</t>
  </si>
  <si>
    <t>P=</t>
  </si>
  <si>
    <t>K=</t>
  </si>
  <si>
    <t>per Gallon</t>
  </si>
  <si>
    <t>Peanut</t>
  </si>
  <si>
    <t xml:space="preserve">Soybean </t>
  </si>
  <si>
    <t>Irr Var Cost</t>
  </si>
  <si>
    <t>Irr Yield</t>
  </si>
  <si>
    <t>Dry Var Cost</t>
  </si>
  <si>
    <t>Dry Yield</t>
  </si>
  <si>
    <t>Cotton Price Determines</t>
  </si>
  <si>
    <t>Peanut Price Determines</t>
  </si>
  <si>
    <t>Corn Price Determines</t>
  </si>
  <si>
    <t>Soybean Price Determines</t>
  </si>
  <si>
    <t>Irrigated Peanut</t>
  </si>
  <si>
    <t>Irrigated Soybean</t>
  </si>
  <si>
    <t>Non Irrigated Peanut</t>
  </si>
  <si>
    <t>Non Irrigated Corn</t>
  </si>
  <si>
    <t>Non Irrigated Soybean</t>
  </si>
  <si>
    <t>Non Irrigated Cotton</t>
  </si>
  <si>
    <t>Strip Tillage Prices</t>
  </si>
  <si>
    <t>Conventional Tillage Prices</t>
  </si>
  <si>
    <t>1)</t>
  </si>
  <si>
    <t>2)</t>
  </si>
  <si>
    <t>3)</t>
  </si>
  <si>
    <t>4)</t>
  </si>
  <si>
    <t>Irrigated peanut is compared to irrigated cotton and non-irrigated peanut is compared to non-irrigated cotton.</t>
  </si>
  <si>
    <t>Irrigated corn is compared to irrigated cotton and non-irrigated corn is compared to non-irrigated cotton.</t>
  </si>
  <si>
    <t>Irrigated soybean is compared to irrigated cotton and non-irrigated soybean is compared to non-irrigated cotton.</t>
  </si>
  <si>
    <t>* The above chart is based on the following assumptions:</t>
  </si>
  <si>
    <t>Irrigated cotton is compared to irrigated peanut and non-irrigated cotton is compared to non-irrigated peanut.</t>
  </si>
  <si>
    <t>Irrigated corn is compared to irrigated peanut and non-irrigated corn is compared to non-irrigated peanut.</t>
  </si>
  <si>
    <t>Irrigated soybean is compared to irrigated peanut and non-irrigated soybean is compared to non-irrigated peanut.</t>
  </si>
  <si>
    <t>Irrigated cotton is compared to irrigated corn and non-irrigated cotton is compared to non-irrigated corn.</t>
  </si>
  <si>
    <t>Irrigated peanut is compared to irrigated corn and non-irrigated peanut is compared to non-irrigated corn.</t>
  </si>
  <si>
    <t>Irrigated soybean is compared to irrigated corn and non-irrigated soybean is compared to non-irrigated corn.</t>
  </si>
  <si>
    <t>Irrigated cotton is compared to irrigated soybean and non-irrigated cotton is compared to non-irrigated soybean.</t>
  </si>
  <si>
    <t>Irrigated peanut is compared to irrigated soybean and non-irrigated peanut is compared to non-irrigated soybean.</t>
  </si>
  <si>
    <t>Irrigated corn is compared to irrigated soybean and non-irrigated corn is compared to non-irrigated soybean.</t>
  </si>
  <si>
    <t>Prices shown are those needed to cover budgeted operating expenses for strip tillage production listed in the crop comparison tool.</t>
  </si>
  <si>
    <t>Prices shown are those needed to cover budgeted operating costs for conventional till production listed in the crop comparison tool.</t>
  </si>
  <si>
    <t>Peanut to Cotton</t>
  </si>
  <si>
    <t>Corn to Cotton</t>
  </si>
  <si>
    <t>Soybean to Cotton</t>
  </si>
  <si>
    <t>Cotton to Peanut</t>
  </si>
  <si>
    <t>Corn to Peanut</t>
  </si>
  <si>
    <t>Soybean to Peanut</t>
  </si>
  <si>
    <t>Cotton to Corn</t>
  </si>
  <si>
    <t>Peanut to Corn</t>
  </si>
  <si>
    <t>Soybean to Corn</t>
  </si>
  <si>
    <t>Cotton to Soybean</t>
  </si>
  <si>
    <t>Peanut to Soybean</t>
  </si>
  <si>
    <t>Corn to Soybean</t>
  </si>
  <si>
    <t>Click on the box to see a chart of the two commodities that you wish to compare.</t>
  </si>
  <si>
    <t>Conventional Tillage: Equal Returns Above Variable Costs Price Comparisons</t>
  </si>
  <si>
    <t>Strip Tillage: Equal Returns Above Variable Costs Price Comparisons</t>
  </si>
  <si>
    <t>Irrigated Peanuts</t>
  </si>
  <si>
    <t>Dryland Peanuts</t>
  </si>
  <si>
    <t>Irrigated Peanuts, Strip Till</t>
  </si>
  <si>
    <t>Dryland Peanuts, Strip Till</t>
  </si>
  <si>
    <t>EXPECTED SEASON AVG PRICE</t>
  </si>
  <si>
    <t>Chicken Litter</t>
  </si>
  <si>
    <t>Land Rent</t>
  </si>
  <si>
    <t>Sensitivity Analysis of Yields and Prices of Conventional-Tillage, Irrigated Crops, South Georgia</t>
  </si>
  <si>
    <t>Sensitivity Analysis of Yields and Prices of Conventional-Tillage, Dryland Crops, South Georgia</t>
  </si>
  <si>
    <t>Sensitivity Analysis of Yields and Prices on Strip-Tillage, Irrigated Crops, South Georgia</t>
  </si>
  <si>
    <t>Sensitivity Analysis of Yields and Prices on Strip-Tillage, Dryland Crops, South Georgia</t>
  </si>
  <si>
    <t>Remaining Uncontracted Pounds per Acre</t>
  </si>
  <si>
    <t>Contracted Pounds per Acre</t>
  </si>
  <si>
    <t>Contracted Price per Ton</t>
  </si>
  <si>
    <t>Expected Harvest Price per Ton</t>
  </si>
  <si>
    <t>Irrigated Peanut Price Calculator</t>
  </si>
  <si>
    <t>Average Dryland Peanut Price</t>
  </si>
  <si>
    <t>Average Irrigated Peanut Price</t>
  </si>
  <si>
    <t>Non Irrigated Peanut Price Calculator</t>
  </si>
  <si>
    <t>Expected Pounds Irrigated Yield</t>
  </si>
  <si>
    <t>Expected Pounds Non-Irrigated Yield</t>
  </si>
  <si>
    <t>Contracted Peanut Yield Calculator</t>
  </si>
  <si>
    <t>Percent contracted</t>
  </si>
  <si>
    <t>Last year's yield (pounds)</t>
  </si>
  <si>
    <t>Pounds contracted this year</t>
  </si>
  <si>
    <t>Last Year's Total Acres</t>
  </si>
  <si>
    <t>In the blue cell to the left, put your expected irrigated yield per acre.</t>
  </si>
  <si>
    <t>In the blue cells to the left, fill in the amount of pounds you contracted and the respective contract price (you can adjust the pounds and prices)</t>
  </si>
  <si>
    <t>In this blue cell, put in your expectation of harvest price.</t>
  </si>
  <si>
    <t>In the yellow cell to the left, put your expected non-irrigated yield per acre.</t>
  </si>
  <si>
    <t>In the yellow cells to the left, fill in the amount of pounds you contracted and the respective contract price (you can adjust the pounds and prices)</t>
  </si>
  <si>
    <t>In this yellow cell, put in your expectation of harvest price.</t>
  </si>
  <si>
    <t>**** Season Average Diesel Fuel Price:</t>
  </si>
  <si>
    <t>April 2012</t>
  </si>
  <si>
    <t>EXPECTED YIELD per ACRE</t>
  </si>
  <si>
    <t>GROSS RETURN per ACRE</t>
  </si>
  <si>
    <t>VARIABLE COSTS per ACRE</t>
  </si>
  <si>
    <t>TOTAL VARIABLE COSTS per ACRE</t>
  </si>
  <si>
    <t>lbs</t>
  </si>
  <si>
    <t>/lb</t>
  </si>
  <si>
    <t>/ton</t>
  </si>
  <si>
    <t>bu</t>
  </si>
  <si>
    <t>/bu</t>
  </si>
  <si>
    <t>RETURN ABOVE VARIABLE COST per ACRE</t>
  </si>
  <si>
    <t>FIXED COSTS per ACRE</t>
  </si>
  <si>
    <t>TOTAL SPECIFIED FIXED COSTS per ACRE</t>
  </si>
  <si>
    <t>TOTAL COST EXCL. LAND &amp; MGT per ACRE</t>
  </si>
  <si>
    <t>RETURN TO LAND AND MGT per ACRE</t>
  </si>
  <si>
    <t>BREAKEVEN YIELD per ACRE</t>
  </si>
  <si>
    <t>N=</t>
  </si>
  <si>
    <t>BREAKEVEN PRICE  (Variable Cost)</t>
  </si>
  <si>
    <t>Gin &amp; Warehouse (net after cottonseed)</t>
  </si>
  <si>
    <t>Custom Application</t>
  </si>
  <si>
    <t>Hand Weeding</t>
  </si>
  <si>
    <t>Handweeding</t>
  </si>
  <si>
    <t>* Expected fertilizer $/lb. of nutrient:</t>
  </si>
  <si>
    <t>** Season Average Diesel fuel price:</t>
  </si>
  <si>
    <t>* Value only if cover crop is not harvested, i.e. wheat for grain, etc.</t>
  </si>
  <si>
    <t>** Expected fertilizer $/lb.of nutrient:</t>
  </si>
  <si>
    <t>ctn</t>
  </si>
  <si>
    <t>crn</t>
  </si>
  <si>
    <t>pnt</t>
  </si>
  <si>
    <t>soy</t>
  </si>
  <si>
    <t>grsor</t>
  </si>
  <si>
    <t>cor</t>
  </si>
  <si>
    <t>avc</t>
  </si>
  <si>
    <t>agr</t>
  </si>
  <si>
    <t>aravc</t>
  </si>
  <si>
    <t>aravc-lr</t>
  </si>
  <si>
    <t>BREAKEVEN YIELD per ACRE (Variable Cost)</t>
  </si>
  <si>
    <t>By A.R. Smith, Y. Liu, and G.A. Hancock, UGA Extension Economists, Department of Agricultural &amp; Applied Economics</t>
  </si>
  <si>
    <t>*** Weighted average of diesel and electric irrigation application costs.  Electric is estimated at $9/appl and diesel is estimated at $12/appl when diesel cost $3/gal.</t>
  </si>
  <si>
    <t>[[Due to extreme volatility in input markets, prices may change rapidly.  You should enter your own prices to best estimate your 2025 cost of production.]]</t>
  </si>
  <si>
    <t>[[All costs below are estimates. Due to extreme volatility in input markets, prices may change rapidly.  You are encouraged to enter your own prices to best estimate your 2026 cost of production.]]</t>
  </si>
  <si>
    <t>Estimate of 2026 Relative Row Crop Costs and Net Returns</t>
  </si>
  <si>
    <t>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</si>
</sst>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quot;$&quot;#,##0.000"/>
    <numFmt numFmtId="168" formatCode="_(* #,##0_);_(* \(#,##0\);_(* &quot;-&quot;??_);_(@_)"/>
    <numFmt numFmtId="169" formatCode="0.0000"/>
    <numFmt numFmtId="170" formatCode="[$-F400]h:mm:ss\ AM/PM"/>
    <numFmt numFmtId="171" formatCode="0.000"/>
  </numFmts>
  <fonts count="23" x14ac:knownFonts="1">
    <font>
      <sz val="10"/>
      <name val="Arial"/>
    </font>
    <font>
      <sz val="10"/>
      <name val="Arial"/>
      <family val="2"/>
    </font>
    <font>
      <sz val="8"/>
      <name val="Arial"/>
      <family val="2"/>
    </font>
    <font>
      <b/>
      <sz val="10"/>
      <name val="Arial"/>
      <family val="2"/>
    </font>
    <font>
      <sz val="10"/>
      <name val="Arial"/>
      <family val="2"/>
    </font>
    <font>
      <b/>
      <sz val="9"/>
      <name val="Arial"/>
      <family val="2"/>
    </font>
    <font>
      <sz val="9"/>
      <name val="Arial"/>
      <family val="2"/>
    </font>
    <font>
      <b/>
      <sz val="12"/>
      <name val="Arial"/>
      <family val="2"/>
    </font>
    <font>
      <sz val="10"/>
      <name val="Arial"/>
      <family val="2"/>
    </font>
    <font>
      <sz val="10"/>
      <name val="Arial"/>
      <family val="2"/>
    </font>
    <font>
      <u/>
      <sz val="10"/>
      <color theme="10"/>
      <name val="Arial"/>
      <family val="2"/>
    </font>
    <font>
      <b/>
      <sz val="9"/>
      <name val="Calibri"/>
      <family val="2"/>
      <scheme val="minor"/>
    </font>
    <font>
      <sz val="9"/>
      <name val="Calibri"/>
      <family val="2"/>
      <scheme val="minor"/>
    </font>
    <font>
      <b/>
      <sz val="10"/>
      <name val="Calibri"/>
      <family val="2"/>
      <scheme val="minor"/>
    </font>
    <font>
      <sz val="10"/>
      <name val="Calibri"/>
      <family val="2"/>
      <scheme val="minor"/>
    </font>
    <font>
      <b/>
      <sz val="8"/>
      <name val="Calibri"/>
      <family val="2"/>
      <scheme val="minor"/>
    </font>
    <font>
      <sz val="8"/>
      <name val="Calibri"/>
      <family val="2"/>
      <scheme val="minor"/>
    </font>
    <font>
      <sz val="11"/>
      <name val="Calibri"/>
      <family val="2"/>
      <scheme val="minor"/>
    </font>
    <font>
      <b/>
      <u/>
      <sz val="14"/>
      <name val="Calibri"/>
      <family val="2"/>
      <scheme val="minor"/>
    </font>
    <font>
      <b/>
      <u/>
      <sz val="10"/>
      <color theme="10"/>
      <name val="Calibri"/>
      <family val="2"/>
      <scheme val="minor"/>
    </font>
    <font>
      <b/>
      <sz val="10"/>
      <color theme="0"/>
      <name val="Calibri"/>
      <family val="2"/>
      <scheme val="minor"/>
    </font>
    <font>
      <b/>
      <sz val="8"/>
      <color theme="0"/>
      <name val="Calibri"/>
      <family val="2"/>
      <scheme val="minor"/>
    </font>
    <font>
      <u/>
      <sz val="10"/>
      <color theme="11"/>
      <name val="Arial"/>
      <family val="2"/>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rgb="FFFEF4CE"/>
        <bgColor indexed="64"/>
      </patternFill>
    </fill>
    <fill>
      <patternFill patternType="solid">
        <fgColor rgb="FFFFCC99"/>
        <bgColor indexed="64"/>
      </patternFill>
    </fill>
    <fill>
      <patternFill patternType="solid">
        <fgColor theme="0"/>
        <bgColor indexed="64"/>
      </patternFill>
    </fill>
    <fill>
      <patternFill patternType="solid">
        <fgColor theme="8" tint="0.59999389629810485"/>
        <bgColor indexed="64"/>
      </patternFill>
    </fill>
    <fill>
      <patternFill patternType="solid">
        <fgColor rgb="FF00FFFF"/>
        <bgColor indexed="64"/>
      </patternFill>
    </fill>
    <fill>
      <patternFill patternType="solid">
        <fgColor rgb="FFFFC000"/>
        <bgColor indexed="64"/>
      </patternFill>
    </fill>
    <fill>
      <patternFill patternType="solid">
        <fgColor rgb="FFFFFF00"/>
        <bgColor indexed="64"/>
      </patternFill>
    </fill>
    <fill>
      <patternFill patternType="solid">
        <fgColor rgb="FF0066FF"/>
        <bgColor indexed="64"/>
      </patternFill>
    </fill>
    <fill>
      <patternFill patternType="solid">
        <fgColor rgb="FF7030A0"/>
        <bgColor indexed="64"/>
      </patternFill>
    </fill>
    <fill>
      <patternFill patternType="solid">
        <fgColor rgb="FF339933"/>
        <bgColor indexed="64"/>
      </patternFill>
    </fill>
  </fills>
  <borders count="73">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style="double">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dotted">
        <color auto="1"/>
      </top>
      <bottom style="dotted">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right/>
      <top style="double">
        <color auto="1"/>
      </top>
      <bottom style="thin">
        <color auto="1"/>
      </bottom>
      <diagonal/>
    </border>
    <border>
      <left style="medium">
        <color auto="1"/>
      </left>
      <right/>
      <top style="double">
        <color auto="1"/>
      </top>
      <bottom style="thin">
        <color auto="1"/>
      </bottom>
      <diagonal/>
    </border>
    <border>
      <left/>
      <right style="thin">
        <color auto="1"/>
      </right>
      <top style="double">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double">
        <color auto="1"/>
      </bottom>
      <diagonal/>
    </border>
    <border>
      <left/>
      <right style="medium">
        <color auto="1"/>
      </right>
      <top/>
      <bottom style="thin">
        <color auto="1"/>
      </bottom>
      <diagonal/>
    </border>
    <border>
      <left style="medium">
        <color auto="1"/>
      </left>
      <right/>
      <top style="medium">
        <color auto="1"/>
      </top>
      <bottom style="double">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thin">
        <color auto="1"/>
      </bottom>
      <diagonal/>
    </border>
    <border>
      <left style="hair">
        <color auto="1"/>
      </left>
      <right style="hair">
        <color auto="1"/>
      </right>
      <top/>
      <bottom/>
      <diagonal/>
    </border>
    <border>
      <left style="hair">
        <color auto="1"/>
      </left>
      <right style="hair">
        <color auto="1"/>
      </right>
      <top style="medium">
        <color auto="1"/>
      </top>
      <bottom style="double">
        <color auto="1"/>
      </bottom>
      <diagonal/>
    </border>
    <border>
      <left style="hair">
        <color auto="1"/>
      </left>
      <right style="hair">
        <color auto="1"/>
      </right>
      <top style="double">
        <color auto="1"/>
      </top>
      <bottom style="thin">
        <color auto="1"/>
      </bottom>
      <diagonal/>
    </border>
    <border>
      <left style="hair">
        <color auto="1"/>
      </left>
      <right/>
      <top/>
      <bottom/>
      <diagonal/>
    </border>
    <border>
      <left/>
      <right style="hair">
        <color auto="1"/>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style="hair">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double">
        <color auto="1"/>
      </top>
      <bottom style="thin">
        <color auto="1"/>
      </bottom>
      <diagonal/>
    </border>
    <border>
      <left/>
      <right style="hair">
        <color auto="1"/>
      </right>
      <top style="double">
        <color auto="1"/>
      </top>
      <bottom style="thin">
        <color auto="1"/>
      </bottom>
      <diagonal/>
    </border>
    <border>
      <left/>
      <right style="hair">
        <color auto="1"/>
      </right>
      <top/>
      <bottom style="thin">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style="hair">
        <color auto="1"/>
      </left>
      <right/>
      <top style="medium">
        <color auto="1"/>
      </top>
      <bottom style="double">
        <color auto="1"/>
      </bottom>
      <diagonal/>
    </border>
    <border>
      <left/>
      <right style="hair">
        <color auto="1"/>
      </right>
      <top style="medium">
        <color auto="1"/>
      </top>
      <bottom style="double">
        <color auto="1"/>
      </bottom>
      <diagonal/>
    </border>
  </borders>
  <cellStyleXfs count="15">
    <xf numFmtId="0" fontId="0" fillId="0" borderId="0"/>
    <xf numFmtId="43" fontId="9"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444">
    <xf numFmtId="0" fontId="0" fillId="0" borderId="0" xfId="0"/>
    <xf numFmtId="0" fontId="4" fillId="0" borderId="0" xfId="0" applyFont="1"/>
    <xf numFmtId="0" fontId="0" fillId="0" borderId="0" xfId="0" applyAlignment="1">
      <alignment horizontal="center"/>
    </xf>
    <xf numFmtId="164" fontId="0" fillId="0" borderId="0" xfId="2" applyNumberFormat="1" applyFont="1" applyAlignment="1">
      <alignment horizontal="center"/>
    </xf>
    <xf numFmtId="3" fontId="0" fillId="0" borderId="0" xfId="0" applyNumberFormat="1" applyAlignment="1">
      <alignment horizontal="center"/>
    </xf>
    <xf numFmtId="0" fontId="3" fillId="0" borderId="0" xfId="0" applyFont="1"/>
    <xf numFmtId="0" fontId="4" fillId="0" borderId="0" xfId="0" applyFont="1" applyAlignment="1">
      <alignment wrapText="1"/>
    </xf>
    <xf numFmtId="0" fontId="0" fillId="0" borderId="0" xfId="0" applyAlignment="1">
      <alignment wrapText="1"/>
    </xf>
    <xf numFmtId="44" fontId="8" fillId="4" borderId="0" xfId="2" applyFont="1" applyFill="1" applyAlignment="1">
      <alignment horizontal="center"/>
    </xf>
    <xf numFmtId="164" fontId="8" fillId="4" borderId="0" xfId="2" applyNumberFormat="1" applyFont="1" applyFill="1" applyAlignment="1">
      <alignment horizontal="center"/>
    </xf>
    <xf numFmtId="44" fontId="3" fillId="4" borderId="9" xfId="2" applyFont="1" applyFill="1" applyBorder="1" applyAlignment="1">
      <alignment horizontal="center"/>
    </xf>
    <xf numFmtId="0" fontId="0" fillId="4" borderId="0" xfId="0" applyFill="1"/>
    <xf numFmtId="44" fontId="8" fillId="5" borderId="0" xfId="2" applyFont="1" applyFill="1" applyAlignment="1">
      <alignment horizontal="center"/>
    </xf>
    <xf numFmtId="164" fontId="8" fillId="5" borderId="0" xfId="2" applyNumberFormat="1" applyFont="1" applyFill="1" applyAlignment="1">
      <alignment horizontal="center"/>
    </xf>
    <xf numFmtId="44" fontId="3" fillId="5" borderId="9" xfId="2" applyFont="1" applyFill="1" applyBorder="1" applyAlignment="1">
      <alignment horizontal="center"/>
    </xf>
    <xf numFmtId="0" fontId="0" fillId="5" borderId="0" xfId="0" applyFill="1"/>
    <xf numFmtId="44" fontId="8" fillId="6" borderId="0" xfId="2" applyFont="1" applyFill="1" applyAlignment="1">
      <alignment horizontal="center"/>
    </xf>
    <xf numFmtId="164" fontId="8" fillId="6" borderId="0" xfId="2" applyNumberFormat="1" applyFont="1" applyFill="1" applyAlignment="1">
      <alignment horizontal="center"/>
    </xf>
    <xf numFmtId="44" fontId="8" fillId="7" borderId="0" xfId="2" applyFont="1" applyFill="1" applyAlignment="1">
      <alignment horizontal="center"/>
    </xf>
    <xf numFmtId="164" fontId="8" fillId="7" borderId="0" xfId="2" applyNumberFormat="1" applyFont="1" applyFill="1" applyAlignment="1">
      <alignment horizontal="center"/>
    </xf>
    <xf numFmtId="164" fontId="3" fillId="7" borderId="9" xfId="2" applyNumberFormat="1" applyFont="1" applyFill="1" applyBorder="1" applyAlignment="1">
      <alignment horizontal="center"/>
    </xf>
    <xf numFmtId="0" fontId="0" fillId="7" borderId="0" xfId="0" applyFill="1"/>
    <xf numFmtId="44" fontId="3" fillId="6" borderId="9" xfId="2" applyFont="1" applyFill="1" applyBorder="1" applyAlignment="1">
      <alignment horizontal="center"/>
    </xf>
    <xf numFmtId="0" fontId="4" fillId="6" borderId="7" xfId="0" applyFont="1" applyFill="1" applyBorder="1" applyAlignment="1">
      <alignment horizontal="center" wrapText="1"/>
    </xf>
    <xf numFmtId="0" fontId="4" fillId="7" borderId="7" xfId="0" applyFont="1" applyFill="1" applyBorder="1" applyAlignment="1">
      <alignment horizontal="center" wrapText="1"/>
    </xf>
    <xf numFmtId="0" fontId="4" fillId="5" borderId="7" xfId="0" applyFont="1" applyFill="1" applyBorder="1" applyAlignment="1">
      <alignment horizontal="center" wrapText="1"/>
    </xf>
    <xf numFmtId="0" fontId="4" fillId="4" borderId="7" xfId="0" applyFont="1" applyFill="1" applyBorder="1" applyAlignment="1">
      <alignment horizontal="center" wrapText="1"/>
    </xf>
    <xf numFmtId="0" fontId="0" fillId="0" borderId="0" xfId="0" applyAlignment="1">
      <alignment horizontal="center" wrapText="1"/>
    </xf>
    <xf numFmtId="0" fontId="0" fillId="4" borderId="7" xfId="0" applyFill="1" applyBorder="1" applyAlignment="1">
      <alignment horizontal="center" wrapText="1"/>
    </xf>
    <xf numFmtId="0" fontId="0" fillId="5" borderId="7" xfId="0" applyFill="1" applyBorder="1" applyAlignment="1">
      <alignment horizontal="center" wrapText="1"/>
    </xf>
    <xf numFmtId="0" fontId="0" fillId="7" borderId="7" xfId="0" applyFill="1" applyBorder="1" applyAlignment="1">
      <alignment horizontal="center" wrapText="1"/>
    </xf>
    <xf numFmtId="0" fontId="0" fillId="6" borderId="7" xfId="0" applyFill="1" applyBorder="1" applyAlignment="1">
      <alignment horizontal="center" wrapText="1"/>
    </xf>
    <xf numFmtId="44" fontId="8" fillId="6" borderId="0" xfId="2" applyFont="1" applyFill="1" applyBorder="1" applyAlignment="1">
      <alignment horizontal="center"/>
    </xf>
    <xf numFmtId="164" fontId="8" fillId="6" borderId="0" xfId="2" applyNumberFormat="1" applyFont="1" applyFill="1" applyBorder="1" applyAlignment="1">
      <alignment horizontal="center"/>
    </xf>
    <xf numFmtId="44" fontId="8" fillId="7" borderId="0" xfId="2" applyFont="1" applyFill="1" applyBorder="1" applyAlignment="1">
      <alignment horizontal="center"/>
    </xf>
    <xf numFmtId="164" fontId="8" fillId="7" borderId="0" xfId="2" applyNumberFormat="1" applyFont="1" applyFill="1" applyBorder="1" applyAlignment="1">
      <alignment horizontal="center"/>
    </xf>
    <xf numFmtId="44" fontId="8" fillId="5" borderId="0" xfId="2" applyFont="1" applyFill="1" applyBorder="1" applyAlignment="1">
      <alignment horizontal="center"/>
    </xf>
    <xf numFmtId="164" fontId="8" fillId="5" borderId="0" xfId="2" applyNumberFormat="1" applyFont="1" applyFill="1" applyBorder="1" applyAlignment="1">
      <alignment horizontal="center"/>
    </xf>
    <xf numFmtId="44" fontId="8" fillId="4" borderId="0" xfId="2" applyFont="1" applyFill="1" applyBorder="1" applyAlignment="1">
      <alignment horizontal="center"/>
    </xf>
    <xf numFmtId="164" fontId="8" fillId="4" borderId="0" xfId="2" applyNumberFormat="1" applyFont="1" applyFill="1" applyBorder="1" applyAlignment="1">
      <alignment horizontal="center"/>
    </xf>
    <xf numFmtId="0" fontId="0" fillId="0" borderId="10" xfId="0" applyBorder="1"/>
    <xf numFmtId="44" fontId="8" fillId="6" borderId="10" xfId="2" applyFont="1" applyFill="1" applyBorder="1" applyAlignment="1">
      <alignment horizontal="center"/>
    </xf>
    <xf numFmtId="164" fontId="8" fillId="6" borderId="10" xfId="2" applyNumberFormat="1" applyFont="1" applyFill="1" applyBorder="1" applyAlignment="1">
      <alignment horizontal="center"/>
    </xf>
    <xf numFmtId="44" fontId="8" fillId="7" borderId="10" xfId="2" applyFont="1" applyFill="1" applyBorder="1" applyAlignment="1">
      <alignment horizontal="center"/>
    </xf>
    <xf numFmtId="164" fontId="8" fillId="7" borderId="10" xfId="2" applyNumberFormat="1" applyFont="1" applyFill="1" applyBorder="1" applyAlignment="1">
      <alignment horizontal="center"/>
    </xf>
    <xf numFmtId="44" fontId="8" fillId="5" borderId="10" xfId="2" applyFont="1" applyFill="1" applyBorder="1" applyAlignment="1">
      <alignment horizontal="center"/>
    </xf>
    <xf numFmtId="164" fontId="8" fillId="5" borderId="10" xfId="2" applyNumberFormat="1" applyFont="1" applyFill="1" applyBorder="1" applyAlignment="1">
      <alignment horizontal="center"/>
    </xf>
    <xf numFmtId="44" fontId="8" fillId="4" borderId="10" xfId="2" applyFont="1" applyFill="1" applyBorder="1" applyAlignment="1">
      <alignment horizontal="center"/>
    </xf>
    <xf numFmtId="164" fontId="8" fillId="4" borderId="10" xfId="2" applyNumberFormat="1" applyFont="1" applyFill="1" applyBorder="1" applyAlignment="1">
      <alignment horizontal="center"/>
    </xf>
    <xf numFmtId="164" fontId="0" fillId="0" borderId="0" xfId="2" applyNumberFormat="1" applyFont="1" applyFill="1" applyAlignment="1">
      <alignment horizontal="center"/>
    </xf>
    <xf numFmtId="0" fontId="3" fillId="8" borderId="0" xfId="0" applyFont="1" applyFill="1" applyAlignment="1">
      <alignment vertical="center"/>
    </xf>
    <xf numFmtId="0" fontId="4" fillId="8" borderId="0" xfId="0" applyFont="1" applyFill="1"/>
    <xf numFmtId="0" fontId="5" fillId="8" borderId="0" xfId="0" applyFont="1" applyFill="1" applyAlignment="1">
      <alignment horizontal="center"/>
    </xf>
    <xf numFmtId="0" fontId="6" fillId="8" borderId="0" xfId="0" applyFont="1" applyFill="1"/>
    <xf numFmtId="0" fontId="6" fillId="8" borderId="6" xfId="0" applyFont="1" applyFill="1" applyBorder="1"/>
    <xf numFmtId="0" fontId="5" fillId="8" borderId="6" xfId="0" applyFont="1" applyFill="1" applyBorder="1" applyAlignment="1">
      <alignment horizontal="center"/>
    </xf>
    <xf numFmtId="3" fontId="5" fillId="8" borderId="6" xfId="0" applyNumberFormat="1" applyFont="1" applyFill="1" applyBorder="1" applyAlignment="1" applyProtection="1">
      <alignment horizontal="right"/>
      <protection locked="0"/>
    </xf>
    <xf numFmtId="3" fontId="5" fillId="8" borderId="0" xfId="0" applyNumberFormat="1" applyFont="1" applyFill="1" applyAlignment="1" applyProtection="1">
      <alignment horizontal="right"/>
      <protection locked="0"/>
    </xf>
    <xf numFmtId="167" fontId="5" fillId="8" borderId="0" xfId="0" applyNumberFormat="1" applyFont="1" applyFill="1" applyAlignment="1" applyProtection="1">
      <alignment horizontal="right"/>
      <protection locked="0"/>
    </xf>
    <xf numFmtId="166" fontId="5" fillId="8" borderId="0" xfId="0" applyNumberFormat="1" applyFont="1" applyFill="1" applyAlignment="1" applyProtection="1">
      <alignment horizontal="right"/>
      <protection locked="0"/>
    </xf>
    <xf numFmtId="165" fontId="5" fillId="8" borderId="0" xfId="0" applyNumberFormat="1" applyFont="1" applyFill="1" applyAlignment="1" applyProtection="1">
      <alignment horizontal="right"/>
      <protection locked="0"/>
    </xf>
    <xf numFmtId="0" fontId="6" fillId="8" borderId="7" xfId="0" applyFont="1" applyFill="1" applyBorder="1"/>
    <xf numFmtId="166" fontId="6" fillId="8" borderId="7" xfId="0" applyNumberFormat="1" applyFont="1" applyFill="1" applyBorder="1"/>
    <xf numFmtId="166" fontId="6" fillId="8" borderId="0" xfId="0" applyNumberFormat="1" applyFont="1" applyFill="1"/>
    <xf numFmtId="166" fontId="5" fillId="8" borderId="7" xfId="0" applyNumberFormat="1" applyFont="1" applyFill="1" applyBorder="1" applyAlignment="1" applyProtection="1">
      <alignment horizontal="right"/>
      <protection locked="0"/>
    </xf>
    <xf numFmtId="0" fontId="7" fillId="8" borderId="0" xfId="0" applyFont="1" applyFill="1" applyAlignment="1">
      <alignment horizontal="center"/>
    </xf>
    <xf numFmtId="0" fontId="0" fillId="8" borderId="0" xfId="0" applyFill="1"/>
    <xf numFmtId="0" fontId="4" fillId="8" borderId="20" xfId="0" applyFont="1" applyFill="1" applyBorder="1" applyAlignment="1">
      <alignment horizontal="right"/>
    </xf>
    <xf numFmtId="9" fontId="4" fillId="8" borderId="7" xfId="0" applyNumberFormat="1" applyFont="1" applyFill="1" applyBorder="1" applyAlignment="1">
      <alignment horizontal="center"/>
    </xf>
    <xf numFmtId="3" fontId="4" fillId="8" borderId="7" xfId="0" applyNumberFormat="1" applyFont="1" applyFill="1" applyBorder="1" applyAlignment="1">
      <alignment horizontal="center"/>
    </xf>
    <xf numFmtId="9" fontId="4" fillId="8" borderId="7" xfId="0" quotePrefix="1" applyNumberFormat="1" applyFont="1" applyFill="1" applyBorder="1" applyAlignment="1">
      <alignment horizontal="center"/>
    </xf>
    <xf numFmtId="9" fontId="4" fillId="8" borderId="6" xfId="0" applyNumberFormat="1" applyFont="1" applyFill="1" applyBorder="1" applyAlignment="1">
      <alignment horizontal="center"/>
    </xf>
    <xf numFmtId="3" fontId="4" fillId="8" borderId="6" xfId="0" applyNumberFormat="1" applyFont="1" applyFill="1" applyBorder="1" applyAlignment="1">
      <alignment horizontal="center"/>
    </xf>
    <xf numFmtId="9" fontId="4" fillId="8" borderId="6" xfId="0" quotePrefix="1" applyNumberFormat="1" applyFont="1" applyFill="1" applyBorder="1" applyAlignment="1">
      <alignment horizontal="center"/>
    </xf>
    <xf numFmtId="0" fontId="4" fillId="8" borderId="20" xfId="0" applyFont="1" applyFill="1" applyBorder="1" applyAlignment="1">
      <alignment horizontal="left"/>
    </xf>
    <xf numFmtId="7" fontId="4" fillId="8" borderId="21" xfId="2" applyNumberFormat="1" applyFont="1" applyFill="1" applyBorder="1" applyAlignment="1">
      <alignment horizontal="center"/>
    </xf>
    <xf numFmtId="164" fontId="4" fillId="8" borderId="6" xfId="2" applyNumberFormat="1" applyFont="1" applyFill="1" applyBorder="1"/>
    <xf numFmtId="7" fontId="4" fillId="8" borderId="22" xfId="2" applyNumberFormat="1" applyFont="1" applyFill="1" applyBorder="1" applyAlignment="1">
      <alignment horizontal="center"/>
    </xf>
    <xf numFmtId="164" fontId="4" fillId="8" borderId="0" xfId="2" applyNumberFormat="1" applyFont="1" applyFill="1" applyBorder="1"/>
    <xf numFmtId="7" fontId="4" fillId="8" borderId="23" xfId="2" applyNumberFormat="1" applyFont="1" applyFill="1" applyBorder="1" applyAlignment="1">
      <alignment horizontal="center"/>
    </xf>
    <xf numFmtId="164" fontId="4" fillId="8" borderId="10" xfId="2" applyNumberFormat="1" applyFont="1" applyFill="1" applyBorder="1"/>
    <xf numFmtId="5" fontId="4" fillId="8" borderId="21" xfId="2" applyNumberFormat="1" applyFont="1" applyFill="1" applyBorder="1" applyAlignment="1">
      <alignment horizontal="center"/>
    </xf>
    <xf numFmtId="5" fontId="4" fillId="8" borderId="22" xfId="2" applyNumberFormat="1" applyFont="1" applyFill="1" applyBorder="1" applyAlignment="1">
      <alignment horizontal="center"/>
    </xf>
    <xf numFmtId="5" fontId="4" fillId="8" borderId="23" xfId="2" applyNumberFormat="1" applyFont="1" applyFill="1" applyBorder="1" applyAlignment="1">
      <alignment horizontal="center"/>
    </xf>
    <xf numFmtId="0" fontId="5" fillId="8" borderId="0" xfId="0" applyFont="1" applyFill="1"/>
    <xf numFmtId="0" fontId="11" fillId="8" borderId="0" xfId="0" applyFont="1" applyFill="1"/>
    <xf numFmtId="0" fontId="12" fillId="8" borderId="0" xfId="0" applyFont="1" applyFill="1"/>
    <xf numFmtId="0" fontId="12" fillId="0" borderId="0" xfId="0" applyFont="1"/>
    <xf numFmtId="49" fontId="13" fillId="3" borderId="7" xfId="0" applyNumberFormat="1" applyFont="1" applyFill="1" applyBorder="1"/>
    <xf numFmtId="49" fontId="13" fillId="3" borderId="21" xfId="0" applyNumberFormat="1" applyFont="1" applyFill="1" applyBorder="1"/>
    <xf numFmtId="0" fontId="14" fillId="8" borderId="0" xfId="0" applyFont="1" applyFill="1"/>
    <xf numFmtId="0" fontId="14" fillId="0" borderId="0" xfId="0" applyFont="1"/>
    <xf numFmtId="0" fontId="11" fillId="3" borderId="24" xfId="0" applyFont="1" applyFill="1" applyBorder="1"/>
    <xf numFmtId="0" fontId="13" fillId="8" borderId="16" xfId="0" applyFont="1" applyFill="1" applyBorder="1" applyAlignment="1">
      <alignment horizontal="center"/>
    </xf>
    <xf numFmtId="0" fontId="13" fillId="8" borderId="20" xfId="0" applyFont="1" applyFill="1" applyBorder="1" applyAlignment="1">
      <alignment horizontal="center"/>
    </xf>
    <xf numFmtId="0" fontId="12" fillId="8" borderId="17" xfId="0" applyFont="1" applyFill="1" applyBorder="1"/>
    <xf numFmtId="0" fontId="13" fillId="8" borderId="13" xfId="0" applyFont="1" applyFill="1" applyBorder="1" applyAlignment="1">
      <alignment horizontal="center"/>
    </xf>
    <xf numFmtId="0" fontId="13" fillId="8" borderId="0" xfId="0" applyFont="1" applyFill="1" applyAlignment="1">
      <alignment horizontal="center"/>
    </xf>
    <xf numFmtId="0" fontId="11" fillId="8" borderId="17" xfId="0" applyFont="1" applyFill="1" applyBorder="1"/>
    <xf numFmtId="0" fontId="11" fillId="8" borderId="19" xfId="0" applyFont="1" applyFill="1" applyBorder="1"/>
    <xf numFmtId="0" fontId="11" fillId="8" borderId="2" xfId="0" applyFont="1" applyFill="1" applyBorder="1"/>
    <xf numFmtId="0" fontId="11" fillId="8" borderId="1" xfId="0" applyFont="1" applyFill="1" applyBorder="1"/>
    <xf numFmtId="0" fontId="14" fillId="8" borderId="8" xfId="0" applyFont="1" applyFill="1" applyBorder="1" applyAlignment="1">
      <alignment horizontal="right"/>
    </xf>
    <xf numFmtId="0" fontId="14" fillId="8" borderId="7" xfId="0" applyFont="1" applyFill="1" applyBorder="1" applyAlignment="1">
      <alignment horizontal="right"/>
    </xf>
    <xf numFmtId="0" fontId="14" fillId="8" borderId="16" xfId="0" applyFont="1" applyFill="1" applyBorder="1" applyAlignment="1">
      <alignment horizontal="right"/>
    </xf>
    <xf numFmtId="0" fontId="14" fillId="8" borderId="20" xfId="0" applyFont="1" applyFill="1" applyBorder="1" applyAlignment="1">
      <alignment horizontal="right"/>
    </xf>
    <xf numFmtId="1" fontId="14" fillId="8" borderId="0" xfId="0" applyNumberFormat="1" applyFont="1" applyFill="1" applyAlignment="1" applyProtection="1">
      <alignment horizontal="right"/>
      <protection locked="0"/>
    </xf>
    <xf numFmtId="1" fontId="14" fillId="8" borderId="15" xfId="0" applyNumberFormat="1" applyFont="1" applyFill="1" applyBorder="1" applyAlignment="1" applyProtection="1">
      <alignment horizontal="right"/>
      <protection locked="0"/>
    </xf>
    <xf numFmtId="1" fontId="14" fillId="8" borderId="22" xfId="0" applyNumberFormat="1" applyFont="1" applyFill="1" applyBorder="1" applyAlignment="1" applyProtection="1">
      <alignment horizontal="right"/>
      <protection locked="0"/>
    </xf>
    <xf numFmtId="1" fontId="14" fillId="8" borderId="13" xfId="0" applyNumberFormat="1" applyFont="1" applyFill="1" applyBorder="1" applyAlignment="1" applyProtection="1">
      <alignment horizontal="right"/>
      <protection locked="0"/>
    </xf>
    <xf numFmtId="1" fontId="14" fillId="8" borderId="0" xfId="0" applyNumberFormat="1" applyFont="1" applyFill="1" applyAlignment="1">
      <alignment horizontal="right"/>
    </xf>
    <xf numFmtId="1" fontId="14" fillId="8" borderId="15" xfId="0" applyNumberFormat="1" applyFont="1" applyFill="1" applyBorder="1" applyAlignment="1">
      <alignment horizontal="right"/>
    </xf>
    <xf numFmtId="1" fontId="14" fillId="8" borderId="22" xfId="0" applyNumberFormat="1" applyFont="1" applyFill="1" applyBorder="1" applyAlignment="1">
      <alignment horizontal="right"/>
    </xf>
    <xf numFmtId="1" fontId="14" fillId="8" borderId="13" xfId="0" applyNumberFormat="1" applyFont="1" applyFill="1" applyBorder="1" applyAlignment="1">
      <alignment horizontal="right"/>
    </xf>
    <xf numFmtId="1" fontId="14" fillId="8" borderId="23" xfId="0" applyNumberFormat="1" applyFont="1" applyFill="1" applyBorder="1" applyAlignment="1">
      <alignment horizontal="right"/>
    </xf>
    <xf numFmtId="0" fontId="11" fillId="8" borderId="18" xfId="0" applyFont="1" applyFill="1" applyBorder="1"/>
    <xf numFmtId="166" fontId="15" fillId="3" borderId="4" xfId="0" applyNumberFormat="1" applyFont="1" applyFill="1" applyBorder="1"/>
    <xf numFmtId="0" fontId="11" fillId="2" borderId="1" xfId="0" applyFont="1" applyFill="1" applyBorder="1"/>
    <xf numFmtId="165" fontId="13" fillId="2" borderId="8" xfId="2" applyNumberFormat="1" applyFont="1" applyFill="1" applyBorder="1" applyAlignment="1">
      <alignment horizontal="right"/>
    </xf>
    <xf numFmtId="165" fontId="15" fillId="2" borderId="7" xfId="2" applyNumberFormat="1" applyFont="1" applyFill="1" applyBorder="1" applyAlignment="1">
      <alignment horizontal="left"/>
    </xf>
    <xf numFmtId="165" fontId="13" fillId="2" borderId="7" xfId="2" applyNumberFormat="1" applyFont="1" applyFill="1" applyBorder="1" applyAlignment="1">
      <alignment horizontal="right"/>
    </xf>
    <xf numFmtId="165" fontId="15" fillId="2" borderId="16" xfId="2" applyNumberFormat="1" applyFont="1" applyFill="1" applyBorder="1" applyAlignment="1">
      <alignment horizontal="left"/>
    </xf>
    <xf numFmtId="165" fontId="15" fillId="2" borderId="20" xfId="2" applyNumberFormat="1" applyFont="1" applyFill="1" applyBorder="1" applyAlignment="1">
      <alignment horizontal="left"/>
    </xf>
    <xf numFmtId="0" fontId="15" fillId="8" borderId="1" xfId="0" applyFont="1" applyFill="1" applyBorder="1"/>
    <xf numFmtId="0" fontId="16" fillId="8" borderId="17" xfId="0" applyFont="1" applyFill="1" applyBorder="1"/>
    <xf numFmtId="6" fontId="14" fillId="8" borderId="13" xfId="0" applyNumberFormat="1" applyFont="1" applyFill="1" applyBorder="1" applyAlignment="1">
      <alignment horizontal="right"/>
    </xf>
    <xf numFmtId="6" fontId="14" fillId="8" borderId="0" xfId="0" applyNumberFormat="1" applyFont="1" applyFill="1" applyAlignment="1">
      <alignment horizontal="right"/>
    </xf>
    <xf numFmtId="6" fontId="14" fillId="8" borderId="15" xfId="0" applyNumberFormat="1" applyFont="1" applyFill="1" applyBorder="1" applyAlignment="1">
      <alignment horizontal="right"/>
    </xf>
    <xf numFmtId="6" fontId="14" fillId="8" borderId="20" xfId="0" applyNumberFormat="1" applyFont="1" applyFill="1" applyBorder="1" applyAlignment="1">
      <alignment horizontal="right"/>
    </xf>
    <xf numFmtId="0" fontId="15" fillId="8" borderId="18" xfId="0" applyFont="1" applyFill="1" applyBorder="1"/>
    <xf numFmtId="165" fontId="11" fillId="3" borderId="3" xfId="0" applyNumberFormat="1" applyFont="1" applyFill="1" applyBorder="1"/>
    <xf numFmtId="165" fontId="14" fillId="8" borderId="13" xfId="0" applyNumberFormat="1" applyFont="1" applyFill="1" applyBorder="1" applyAlignment="1">
      <alignment horizontal="right"/>
    </xf>
    <xf numFmtId="165" fontId="14" fillId="8" borderId="0" xfId="0" applyNumberFormat="1" applyFont="1" applyFill="1" applyAlignment="1">
      <alignment horizontal="right"/>
    </xf>
    <xf numFmtId="165" fontId="14" fillId="8" borderId="15" xfId="0" applyNumberFormat="1" applyFont="1" applyFill="1" applyBorder="1" applyAlignment="1">
      <alignment horizontal="right"/>
    </xf>
    <xf numFmtId="165" fontId="14" fillId="8" borderId="22" xfId="0" applyNumberFormat="1" applyFont="1" applyFill="1" applyBorder="1" applyAlignment="1">
      <alignment horizontal="right"/>
    </xf>
    <xf numFmtId="165" fontId="13" fillId="2" borderId="5" xfId="2" applyNumberFormat="1" applyFont="1" applyFill="1" applyBorder="1" applyAlignment="1">
      <alignment horizontal="right"/>
    </xf>
    <xf numFmtId="165" fontId="15" fillId="2" borderId="6" xfId="2" applyNumberFormat="1" applyFont="1" applyFill="1" applyBorder="1" applyAlignment="1">
      <alignment horizontal="left"/>
    </xf>
    <xf numFmtId="165" fontId="13" fillId="2" borderId="6" xfId="2" applyNumberFormat="1" applyFont="1" applyFill="1" applyBorder="1" applyAlignment="1">
      <alignment horizontal="right"/>
    </xf>
    <xf numFmtId="0" fontId="11" fillId="2" borderId="2" xfId="0" applyFont="1" applyFill="1" applyBorder="1"/>
    <xf numFmtId="3" fontId="13" fillId="2" borderId="8" xfId="0" applyNumberFormat="1" applyFont="1" applyFill="1" applyBorder="1" applyAlignment="1">
      <alignment horizontal="right"/>
    </xf>
    <xf numFmtId="3" fontId="15" fillId="2" borderId="7" xfId="0" applyNumberFormat="1" applyFont="1" applyFill="1" applyBorder="1" applyAlignment="1">
      <alignment horizontal="left"/>
    </xf>
    <xf numFmtId="1" fontId="13" fillId="2" borderId="7" xfId="0" applyNumberFormat="1" applyFont="1" applyFill="1" applyBorder="1" applyAlignment="1">
      <alignment horizontal="right"/>
    </xf>
    <xf numFmtId="0" fontId="12" fillId="8" borderId="6" xfId="0" applyFont="1" applyFill="1" applyBorder="1" applyAlignment="1">
      <alignment horizontal="left"/>
    </xf>
    <xf numFmtId="0" fontId="12" fillId="8" borderId="6" xfId="0" applyFont="1" applyFill="1" applyBorder="1"/>
    <xf numFmtId="0" fontId="11" fillId="8" borderId="0" xfId="0" applyFont="1" applyFill="1" applyAlignment="1">
      <alignment horizontal="left"/>
    </xf>
    <xf numFmtId="0" fontId="11" fillId="8" borderId="0" xfId="0" applyFont="1" applyFill="1" applyAlignment="1">
      <alignment horizontal="right"/>
    </xf>
    <xf numFmtId="0" fontId="12" fillId="8" borderId="0" xfId="0" applyFont="1" applyFill="1" applyAlignment="1">
      <alignment horizontal="left"/>
    </xf>
    <xf numFmtId="8" fontId="11" fillId="8" borderId="0" xfId="0" applyNumberFormat="1" applyFont="1" applyFill="1" applyProtection="1">
      <protection locked="0"/>
    </xf>
    <xf numFmtId="0" fontId="13" fillId="8" borderId="0" xfId="0" applyFont="1" applyFill="1"/>
    <xf numFmtId="0" fontId="14" fillId="8" borderId="0" xfId="0" applyFont="1" applyFill="1" applyAlignment="1">
      <alignment horizontal="center"/>
    </xf>
    <xf numFmtId="0" fontId="14" fillId="0" borderId="0" xfId="0" applyFont="1" applyAlignment="1">
      <alignment horizontal="center"/>
    </xf>
    <xf numFmtId="166" fontId="11" fillId="3" borderId="4" xfId="0" applyNumberFormat="1" applyFont="1" applyFill="1" applyBorder="1"/>
    <xf numFmtId="166" fontId="14" fillId="8" borderId="0" xfId="0" applyNumberFormat="1" applyFont="1" applyFill="1"/>
    <xf numFmtId="166" fontId="14" fillId="0" borderId="0" xfId="0" applyNumberFormat="1" applyFont="1"/>
    <xf numFmtId="165" fontId="14" fillId="8" borderId="0" xfId="0" applyNumberFormat="1" applyFont="1" applyFill="1"/>
    <xf numFmtId="165" fontId="14" fillId="0" borderId="0" xfId="0" applyNumberFormat="1" applyFont="1"/>
    <xf numFmtId="165" fontId="13" fillId="2" borderId="5" xfId="2" applyNumberFormat="1" applyFont="1" applyFill="1" applyBorder="1" applyAlignment="1"/>
    <xf numFmtId="165" fontId="11" fillId="8" borderId="6" xfId="0" applyNumberFormat="1" applyFont="1" applyFill="1" applyBorder="1" applyProtection="1">
      <protection locked="0"/>
    </xf>
    <xf numFmtId="0" fontId="11" fillId="8" borderId="6" xfId="0" applyFont="1" applyFill="1" applyBorder="1" applyAlignment="1">
      <alignment horizontal="right"/>
    </xf>
    <xf numFmtId="0" fontId="14" fillId="8" borderId="0" xfId="0" applyFont="1" applyFill="1" applyAlignment="1">
      <alignment horizontal="left"/>
    </xf>
    <xf numFmtId="0" fontId="11" fillId="5" borderId="24" xfId="0" applyFont="1" applyFill="1" applyBorder="1" applyAlignment="1">
      <alignment horizontal="left"/>
    </xf>
    <xf numFmtId="0" fontId="12" fillId="8" borderId="17" xfId="0" applyFont="1" applyFill="1" applyBorder="1" applyAlignment="1">
      <alignment horizontal="center"/>
    </xf>
    <xf numFmtId="0" fontId="13" fillId="8" borderId="13" xfId="0" applyFont="1" applyFill="1" applyBorder="1" applyAlignment="1">
      <alignment horizontal="center" vertical="center"/>
    </xf>
    <xf numFmtId="0" fontId="19" fillId="6" borderId="9" xfId="3" applyFont="1" applyFill="1" applyBorder="1" applyAlignment="1">
      <alignment horizontal="center" vertical="center" wrapText="1"/>
    </xf>
    <xf numFmtId="0" fontId="13" fillId="8" borderId="0" xfId="0" applyFont="1" applyFill="1" applyAlignment="1">
      <alignment horizontal="center" vertical="center"/>
    </xf>
    <xf numFmtId="0" fontId="19" fillId="7" borderId="9" xfId="3" applyFont="1" applyFill="1" applyBorder="1" applyAlignment="1">
      <alignment horizontal="center" vertical="center" wrapText="1"/>
    </xf>
    <xf numFmtId="0" fontId="19" fillId="5" borderId="9" xfId="3" applyFont="1" applyFill="1" applyBorder="1" applyAlignment="1">
      <alignment horizontal="center" vertical="center" wrapText="1"/>
    </xf>
    <xf numFmtId="0" fontId="19" fillId="4" borderId="9" xfId="3" applyFont="1" applyFill="1" applyBorder="1" applyAlignment="1">
      <alignment horizontal="center" vertical="center" wrapText="1"/>
    </xf>
    <xf numFmtId="0" fontId="13" fillId="8" borderId="15" xfId="0" applyFont="1" applyFill="1" applyBorder="1" applyAlignment="1">
      <alignment horizontal="center" vertical="center"/>
    </xf>
    <xf numFmtId="0" fontId="13" fillId="0" borderId="0" xfId="0" applyFont="1" applyAlignment="1">
      <alignment horizontal="center" vertical="center"/>
    </xf>
    <xf numFmtId="0" fontId="14" fillId="8" borderId="13"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0" xfId="0" applyFont="1" applyFill="1" applyAlignment="1">
      <alignment horizontal="center" vertical="center"/>
    </xf>
    <xf numFmtId="0" fontId="14" fillId="0" borderId="0" xfId="0" applyFont="1" applyAlignment="1">
      <alignment horizontal="center" vertical="center"/>
    </xf>
    <xf numFmtId="0" fontId="14" fillId="8" borderId="14" xfId="0" applyFont="1" applyFill="1" applyBorder="1"/>
    <xf numFmtId="0" fontId="13" fillId="8" borderId="11" xfId="0" applyFont="1" applyFill="1" applyBorder="1"/>
    <xf numFmtId="0" fontId="14" fillId="8" borderId="12" xfId="0" applyFont="1" applyFill="1" applyBorder="1"/>
    <xf numFmtId="0" fontId="13" fillId="8" borderId="0" xfId="0" applyFont="1" applyFill="1" applyAlignment="1">
      <alignment vertical="center"/>
    </xf>
    <xf numFmtId="0" fontId="13" fillId="0" borderId="0" xfId="0" applyFont="1" applyAlignment="1">
      <alignment vertical="center"/>
    </xf>
    <xf numFmtId="0" fontId="1" fillId="8" borderId="0" xfId="0" applyFont="1" applyFill="1" applyAlignment="1">
      <alignment vertical="center"/>
    </xf>
    <xf numFmtId="0" fontId="1" fillId="0" borderId="0" xfId="0" applyFont="1" applyAlignment="1">
      <alignment vertical="center"/>
    </xf>
    <xf numFmtId="3" fontId="1" fillId="8" borderId="0" xfId="0" applyNumberFormat="1" applyFont="1" applyFill="1" applyAlignment="1">
      <alignment vertical="center"/>
    </xf>
    <xf numFmtId="9" fontId="1" fillId="8" borderId="0" xfId="4" applyFont="1" applyFill="1" applyAlignment="1">
      <alignment vertical="center"/>
    </xf>
    <xf numFmtId="3" fontId="1" fillId="8" borderId="0" xfId="4" applyNumberFormat="1" applyFont="1" applyFill="1" applyAlignment="1">
      <alignment vertical="center"/>
    </xf>
    <xf numFmtId="168" fontId="1" fillId="8" borderId="0" xfId="1" applyNumberFormat="1" applyFont="1" applyFill="1" applyAlignment="1">
      <alignment vertical="center"/>
    </xf>
    <xf numFmtId="0" fontId="1" fillId="0" borderId="10" xfId="0" applyFont="1" applyBorder="1" applyAlignment="1">
      <alignment horizontal="center" vertical="center" wrapText="1"/>
    </xf>
    <xf numFmtId="3" fontId="3" fillId="9" borderId="10" xfId="0" applyNumberFormat="1"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3" fontId="3" fillId="9" borderId="0" xfId="1" applyNumberFormat="1" applyFont="1" applyFill="1" applyBorder="1" applyAlignment="1" applyProtection="1">
      <alignment horizontal="center" vertical="center" wrapText="1"/>
      <protection locked="0"/>
    </xf>
    <xf numFmtId="166" fontId="3" fillId="9" borderId="0" xfId="2" applyNumberFormat="1" applyFont="1" applyFill="1" applyBorder="1" applyAlignment="1" applyProtection="1">
      <alignment horizontal="center" vertical="center" wrapText="1"/>
      <protection locked="0"/>
    </xf>
    <xf numFmtId="3" fontId="3" fillId="9" borderId="26" xfId="1" applyNumberFormat="1" applyFont="1" applyFill="1" applyBorder="1" applyAlignment="1" applyProtection="1">
      <alignment horizontal="center" vertical="center" wrapText="1"/>
      <protection locked="0"/>
    </xf>
    <xf numFmtId="166" fontId="3" fillId="9" borderId="26" xfId="2" applyNumberFormat="1" applyFont="1" applyFill="1" applyBorder="1" applyAlignment="1" applyProtection="1">
      <alignment horizontal="center" vertical="center" wrapText="1"/>
      <protection locked="0"/>
    </xf>
    <xf numFmtId="3" fontId="3" fillId="9" borderId="10" xfId="1" applyNumberFormat="1" applyFont="1" applyFill="1" applyBorder="1" applyAlignment="1" applyProtection="1">
      <alignment horizontal="center" vertical="center" wrapText="1"/>
      <protection locked="0"/>
    </xf>
    <xf numFmtId="166" fontId="3" fillId="9" borderId="10" xfId="0" applyNumberFormat="1" applyFont="1" applyFill="1" applyBorder="1" applyAlignment="1" applyProtection="1">
      <alignment horizontal="center" vertical="center" wrapText="1"/>
      <protection locked="0"/>
    </xf>
    <xf numFmtId="3" fontId="1" fillId="0" borderId="7"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3" fontId="1" fillId="0" borderId="0" xfId="1" applyNumberFormat="1" applyFont="1" applyAlignment="1" applyProtection="1">
      <alignment horizontal="center" vertical="center"/>
    </xf>
    <xf numFmtId="166" fontId="3" fillId="9" borderId="0" xfId="0" applyNumberFormat="1" applyFont="1" applyFill="1" applyAlignment="1" applyProtection="1">
      <alignment horizontal="center" vertical="center" wrapText="1"/>
      <protection locked="0"/>
    </xf>
    <xf numFmtId="0" fontId="1" fillId="8" borderId="7" xfId="0" applyFont="1" applyFill="1" applyBorder="1" applyAlignment="1">
      <alignment horizontal="center" vertical="center" wrapText="1"/>
    </xf>
    <xf numFmtId="166" fontId="1" fillId="8" borderId="7" xfId="2" applyNumberFormat="1" applyFont="1" applyFill="1" applyBorder="1" applyAlignment="1">
      <alignment horizontal="center" vertical="center"/>
    </xf>
    <xf numFmtId="0" fontId="3" fillId="8" borderId="0" xfId="0" applyFont="1" applyFill="1" applyAlignment="1">
      <alignment horizontal="center" vertical="center" wrapText="1"/>
    </xf>
    <xf numFmtId="166" fontId="3" fillId="8" borderId="0" xfId="2" applyNumberFormat="1" applyFont="1" applyFill="1" applyBorder="1" applyAlignment="1">
      <alignment horizontal="center" vertical="center"/>
    </xf>
    <xf numFmtId="3" fontId="3" fillId="5" borderId="10" xfId="0" applyNumberFormat="1" applyFont="1" applyFill="1" applyBorder="1" applyAlignment="1" applyProtection="1">
      <alignment horizontal="center" vertical="center"/>
      <protection locked="0"/>
    </xf>
    <xf numFmtId="3" fontId="3" fillId="5" borderId="0" xfId="1" applyNumberFormat="1" applyFont="1" applyFill="1" applyBorder="1" applyAlignment="1" applyProtection="1">
      <alignment horizontal="center" vertical="center" wrapText="1"/>
      <protection locked="0"/>
    </xf>
    <xf numFmtId="166" fontId="3" fillId="5" borderId="0" xfId="2" applyNumberFormat="1" applyFont="1" applyFill="1" applyBorder="1" applyAlignment="1" applyProtection="1">
      <alignment horizontal="center" vertical="center" wrapText="1"/>
      <protection locked="0"/>
    </xf>
    <xf numFmtId="3" fontId="3" fillId="5" borderId="26" xfId="1" applyNumberFormat="1" applyFont="1" applyFill="1" applyBorder="1" applyAlignment="1" applyProtection="1">
      <alignment horizontal="center" vertical="center" wrapText="1"/>
      <protection locked="0"/>
    </xf>
    <xf numFmtId="166" fontId="3" fillId="5" borderId="26" xfId="2" applyNumberFormat="1" applyFont="1" applyFill="1" applyBorder="1" applyAlignment="1" applyProtection="1">
      <alignment horizontal="center" vertical="center" wrapText="1"/>
      <protection locked="0"/>
    </xf>
    <xf numFmtId="3" fontId="3" fillId="5" borderId="10" xfId="1" applyNumberFormat="1" applyFont="1" applyFill="1" applyBorder="1" applyAlignment="1" applyProtection="1">
      <alignment horizontal="center" vertical="center" wrapText="1"/>
      <protection locked="0"/>
    </xf>
    <xf numFmtId="166" fontId="3" fillId="5" borderId="10" xfId="0" applyNumberFormat="1" applyFont="1" applyFill="1" applyBorder="1" applyAlignment="1" applyProtection="1">
      <alignment horizontal="center" vertical="center" wrapText="1"/>
      <protection locked="0"/>
    </xf>
    <xf numFmtId="166" fontId="3" fillId="5" borderId="0" xfId="0" applyNumberFormat="1" applyFont="1" applyFill="1" applyAlignment="1" applyProtection="1">
      <alignment horizontal="center" vertical="center" wrapText="1"/>
      <protection locked="0"/>
    </xf>
    <xf numFmtId="0" fontId="14" fillId="8" borderId="0" xfId="0" applyFont="1" applyFill="1" applyAlignment="1">
      <alignment horizontal="right"/>
    </xf>
    <xf numFmtId="49" fontId="11" fillId="3" borderId="25" xfId="0" quotePrefix="1" applyNumberFormat="1" applyFont="1" applyFill="1" applyBorder="1"/>
    <xf numFmtId="1" fontId="14" fillId="8" borderId="13" xfId="0" applyNumberFormat="1" applyFont="1" applyFill="1" applyBorder="1" applyAlignment="1" applyProtection="1">
      <alignment horizontal="center"/>
      <protection locked="0"/>
    </xf>
    <xf numFmtId="1" fontId="14" fillId="8" borderId="0" xfId="0" applyNumberFormat="1" applyFont="1" applyFill="1" applyAlignment="1" applyProtection="1">
      <alignment horizontal="center"/>
      <protection locked="0"/>
    </xf>
    <xf numFmtId="165" fontId="11" fillId="8" borderId="6" xfId="0" applyNumberFormat="1" applyFont="1" applyFill="1" applyBorder="1" applyAlignment="1" applyProtection="1">
      <alignment horizontal="left"/>
      <protection locked="0"/>
    </xf>
    <xf numFmtId="0" fontId="13" fillId="8" borderId="6" xfId="0" applyFont="1" applyFill="1" applyBorder="1" applyAlignment="1">
      <alignment horizontal="center"/>
    </xf>
    <xf numFmtId="165" fontId="11" fillId="8" borderId="0" xfId="0" applyNumberFormat="1" applyFont="1" applyFill="1" applyAlignment="1" applyProtection="1">
      <alignment horizontal="left"/>
      <protection locked="0"/>
    </xf>
    <xf numFmtId="165" fontId="15" fillId="2" borderId="60" xfId="2" applyNumberFormat="1" applyFont="1" applyFill="1" applyBorder="1" applyAlignment="1">
      <alignment horizontal="left"/>
    </xf>
    <xf numFmtId="166" fontId="13" fillId="2" borderId="59" xfId="2" applyNumberFormat="1" applyFont="1" applyFill="1" applyBorder="1" applyAlignment="1">
      <alignment horizontal="right"/>
    </xf>
    <xf numFmtId="165" fontId="13" fillId="2" borderId="59" xfId="2" applyNumberFormat="1" applyFont="1" applyFill="1" applyBorder="1" applyAlignment="1">
      <alignment horizontal="right"/>
    </xf>
    <xf numFmtId="3" fontId="15" fillId="2" borderId="60" xfId="0" applyNumberFormat="1" applyFont="1" applyFill="1" applyBorder="1" applyAlignment="1">
      <alignment horizontal="left"/>
    </xf>
    <xf numFmtId="166" fontId="13" fillId="2" borderId="61" xfId="2" applyNumberFormat="1" applyFont="1" applyFill="1" applyBorder="1" applyAlignment="1">
      <alignment horizontal="right"/>
    </xf>
    <xf numFmtId="165" fontId="13" fillId="2" borderId="61" xfId="2" applyNumberFormat="1" applyFont="1" applyFill="1" applyBorder="1" applyAlignment="1">
      <alignment horizontal="right"/>
    </xf>
    <xf numFmtId="165" fontId="15" fillId="2" borderId="63" xfId="2" applyNumberFormat="1" applyFont="1" applyFill="1" applyBorder="1" applyAlignment="1">
      <alignment horizontal="left"/>
    </xf>
    <xf numFmtId="3" fontId="13" fillId="2" borderId="59" xfId="0" applyNumberFormat="1" applyFont="1" applyFill="1" applyBorder="1" applyAlignment="1">
      <alignment horizontal="right"/>
    </xf>
    <xf numFmtId="1" fontId="13" fillId="2" borderId="59" xfId="0" applyNumberFormat="1" applyFont="1" applyFill="1" applyBorder="1" applyAlignment="1">
      <alignment horizontal="right"/>
    </xf>
    <xf numFmtId="165" fontId="11" fillId="8" borderId="0" xfId="0" applyNumberFormat="1" applyFont="1" applyFill="1" applyProtection="1">
      <protection locked="0"/>
    </xf>
    <xf numFmtId="0" fontId="13" fillId="8" borderId="63" xfId="0" applyFont="1" applyFill="1" applyBorder="1" applyAlignment="1">
      <alignment horizontal="center"/>
    </xf>
    <xf numFmtId="0" fontId="14" fillId="8" borderId="59" xfId="0" applyFont="1" applyFill="1" applyBorder="1" applyAlignment="1">
      <alignment horizontal="right"/>
    </xf>
    <xf numFmtId="0" fontId="14" fillId="8" borderId="60" xfId="0" applyFont="1" applyFill="1" applyBorder="1" applyAlignment="1">
      <alignment horizontal="right"/>
    </xf>
    <xf numFmtId="1" fontId="14" fillId="8" borderId="57" xfId="0" applyNumberFormat="1" applyFont="1" applyFill="1" applyBorder="1" applyAlignment="1" applyProtection="1">
      <alignment horizontal="right"/>
      <protection locked="0"/>
    </xf>
    <xf numFmtId="1" fontId="14" fillId="8" borderId="58" xfId="0" applyNumberFormat="1" applyFont="1" applyFill="1" applyBorder="1" applyAlignment="1" applyProtection="1">
      <alignment horizontal="right"/>
      <protection locked="0"/>
    </xf>
    <xf numFmtId="1" fontId="14" fillId="8" borderId="57" xfId="0" applyNumberFormat="1" applyFont="1" applyFill="1" applyBorder="1" applyAlignment="1">
      <alignment horizontal="right"/>
    </xf>
    <xf numFmtId="1" fontId="14" fillId="8" borderId="58" xfId="0" applyNumberFormat="1" applyFont="1" applyFill="1" applyBorder="1" applyAlignment="1">
      <alignment horizontal="right"/>
    </xf>
    <xf numFmtId="6" fontId="14" fillId="8" borderId="57" xfId="0" applyNumberFormat="1" applyFont="1" applyFill="1" applyBorder="1" applyAlignment="1">
      <alignment horizontal="right"/>
    </xf>
    <xf numFmtId="6" fontId="14" fillId="8" borderId="58" xfId="0" applyNumberFormat="1" applyFont="1" applyFill="1" applyBorder="1" applyAlignment="1">
      <alignment horizontal="right"/>
    </xf>
    <xf numFmtId="165" fontId="14" fillId="8" borderId="57" xfId="0" applyNumberFormat="1" applyFont="1" applyFill="1" applyBorder="1" applyAlignment="1">
      <alignment horizontal="right"/>
    </xf>
    <xf numFmtId="165" fontId="14" fillId="8" borderId="58" xfId="0" applyNumberFormat="1" applyFont="1" applyFill="1" applyBorder="1" applyAlignment="1">
      <alignment horizontal="right"/>
    </xf>
    <xf numFmtId="0" fontId="13" fillId="8" borderId="61" xfId="0" applyFont="1" applyFill="1" applyBorder="1" applyAlignment="1">
      <alignment horizontal="center"/>
    </xf>
    <xf numFmtId="166" fontId="13" fillId="2" borderId="59" xfId="2" applyNumberFormat="1" applyFont="1" applyFill="1" applyBorder="1" applyAlignment="1"/>
    <xf numFmtId="0" fontId="11" fillId="7" borderId="1" xfId="0" applyFont="1" applyFill="1" applyBorder="1"/>
    <xf numFmtId="165" fontId="13" fillId="7" borderId="8" xfId="2" applyNumberFormat="1" applyFont="1" applyFill="1" applyBorder="1" applyAlignment="1">
      <alignment horizontal="right"/>
    </xf>
    <xf numFmtId="165" fontId="15" fillId="7" borderId="7" xfId="2" applyNumberFormat="1" applyFont="1" applyFill="1" applyBorder="1" applyAlignment="1">
      <alignment horizontal="left"/>
    </xf>
    <xf numFmtId="166" fontId="13" fillId="7" borderId="59" xfId="2" applyNumberFormat="1" applyFont="1" applyFill="1" applyBorder="1" applyAlignment="1">
      <alignment horizontal="right"/>
    </xf>
    <xf numFmtId="165" fontId="15" fillId="7" borderId="60" xfId="2" applyNumberFormat="1" applyFont="1" applyFill="1" applyBorder="1" applyAlignment="1">
      <alignment horizontal="left"/>
    </xf>
    <xf numFmtId="165" fontId="13" fillId="7" borderId="59" xfId="2" applyNumberFormat="1" applyFont="1" applyFill="1" applyBorder="1" applyAlignment="1">
      <alignment horizontal="right"/>
    </xf>
    <xf numFmtId="165" fontId="13" fillId="7" borderId="7" xfId="2" applyNumberFormat="1" applyFont="1" applyFill="1" applyBorder="1" applyAlignment="1">
      <alignment horizontal="right"/>
    </xf>
    <xf numFmtId="165" fontId="15" fillId="7" borderId="20" xfId="2" applyNumberFormat="1" applyFont="1" applyFill="1" applyBorder="1" applyAlignment="1">
      <alignment horizontal="left"/>
    </xf>
    <xf numFmtId="165" fontId="20" fillId="13" borderId="64" xfId="0" applyNumberFormat="1" applyFont="1" applyFill="1" applyBorder="1" applyAlignment="1">
      <alignment horizontal="right"/>
    </xf>
    <xf numFmtId="165" fontId="21" fillId="13" borderId="65" xfId="0" quotePrefix="1" applyNumberFormat="1" applyFont="1" applyFill="1" applyBorder="1" applyAlignment="1" applyProtection="1">
      <alignment horizontal="left"/>
      <protection locked="0"/>
    </xf>
    <xf numFmtId="165" fontId="20" fillId="13" borderId="28" xfId="0" applyNumberFormat="1" applyFont="1" applyFill="1" applyBorder="1" applyAlignment="1">
      <alignment horizontal="right"/>
    </xf>
    <xf numFmtId="165" fontId="21" fillId="13" borderId="30" xfId="0" quotePrefix="1" applyNumberFormat="1" applyFont="1" applyFill="1" applyBorder="1" applyAlignment="1" applyProtection="1">
      <alignment horizontal="left"/>
      <protection locked="0"/>
    </xf>
    <xf numFmtId="165" fontId="20" fillId="13" borderId="64" xfId="0" applyNumberFormat="1" applyFont="1" applyFill="1" applyBorder="1" applyAlignment="1" applyProtection="1">
      <alignment horizontal="right"/>
      <protection locked="0"/>
    </xf>
    <xf numFmtId="165" fontId="20" fillId="13" borderId="28" xfId="0" applyNumberFormat="1" applyFont="1" applyFill="1" applyBorder="1" applyAlignment="1" applyProtection="1">
      <alignment horizontal="right"/>
      <protection locked="0"/>
    </xf>
    <xf numFmtId="165" fontId="21" fillId="13" borderId="29" xfId="0" quotePrefix="1" applyNumberFormat="1" applyFont="1" applyFill="1" applyBorder="1" applyAlignment="1" applyProtection="1">
      <alignment horizontal="left"/>
      <protection locked="0"/>
    </xf>
    <xf numFmtId="165" fontId="21" fillId="13" borderId="28" xfId="0" quotePrefix="1" applyNumberFormat="1" applyFont="1" applyFill="1" applyBorder="1" applyAlignment="1" applyProtection="1">
      <alignment horizontal="left"/>
      <protection locked="0"/>
    </xf>
    <xf numFmtId="165" fontId="20" fillId="13" borderId="27" xfId="0" applyNumberFormat="1" applyFont="1" applyFill="1" applyBorder="1" applyProtection="1">
      <protection locked="0"/>
    </xf>
    <xf numFmtId="3" fontId="20" fillId="14" borderId="59" xfId="0" applyNumberFormat="1" applyFont="1" applyFill="1" applyBorder="1" applyAlignment="1">
      <alignment horizontal="right"/>
    </xf>
    <xf numFmtId="3" fontId="21" fillId="14" borderId="60" xfId="0" applyNumberFormat="1" applyFont="1" applyFill="1" applyBorder="1" applyAlignment="1" applyProtection="1">
      <alignment horizontal="left"/>
      <protection locked="0"/>
    </xf>
    <xf numFmtId="166" fontId="20" fillId="14" borderId="64" xfId="0" applyNumberFormat="1" applyFont="1" applyFill="1" applyBorder="1" applyAlignment="1">
      <alignment horizontal="right"/>
    </xf>
    <xf numFmtId="165" fontId="21" fillId="14" borderId="65" xfId="0" quotePrefix="1" applyNumberFormat="1" applyFont="1" applyFill="1" applyBorder="1" applyAlignment="1" applyProtection="1">
      <alignment horizontal="left"/>
      <protection locked="0"/>
    </xf>
    <xf numFmtId="3" fontId="20" fillId="15" borderId="59" xfId="0" applyNumberFormat="1" applyFont="1" applyFill="1" applyBorder="1" applyAlignment="1" applyProtection="1">
      <alignment horizontal="right"/>
      <protection locked="0"/>
    </xf>
    <xf numFmtId="3" fontId="21" fillId="15" borderId="60" xfId="0" applyNumberFormat="1" applyFont="1" applyFill="1" applyBorder="1" applyAlignment="1" applyProtection="1">
      <alignment horizontal="left"/>
      <protection locked="0"/>
    </xf>
    <xf numFmtId="3" fontId="20" fillId="15" borderId="7" xfId="0" applyNumberFormat="1" applyFont="1" applyFill="1" applyBorder="1" applyAlignment="1" applyProtection="1">
      <alignment horizontal="right"/>
      <protection locked="0"/>
    </xf>
    <xf numFmtId="3" fontId="21" fillId="15" borderId="20" xfId="0" applyNumberFormat="1" applyFont="1" applyFill="1" applyBorder="1" applyAlignment="1" applyProtection="1">
      <alignment horizontal="left"/>
      <protection locked="0"/>
    </xf>
    <xf numFmtId="3" fontId="21" fillId="15" borderId="16" xfId="0" applyNumberFormat="1" applyFont="1" applyFill="1" applyBorder="1" applyAlignment="1" applyProtection="1">
      <alignment horizontal="left"/>
      <protection locked="0"/>
    </xf>
    <xf numFmtId="3" fontId="21" fillId="15" borderId="7" xfId="0" applyNumberFormat="1" applyFont="1" applyFill="1" applyBorder="1" applyAlignment="1" applyProtection="1">
      <alignment horizontal="left"/>
      <protection locked="0"/>
    </xf>
    <xf numFmtId="3" fontId="20" fillId="15" borderId="8" xfId="0" applyNumberFormat="1" applyFont="1" applyFill="1" applyBorder="1" applyProtection="1">
      <protection locked="0"/>
    </xf>
    <xf numFmtId="3" fontId="20" fillId="15" borderId="8" xfId="0" applyNumberFormat="1" applyFont="1" applyFill="1" applyBorder="1" applyAlignment="1" applyProtection="1">
      <alignment horizontal="right"/>
      <protection locked="0"/>
    </xf>
    <xf numFmtId="165" fontId="20" fillId="13" borderId="27" xfId="0" applyNumberFormat="1" applyFont="1" applyFill="1" applyBorder="1" applyAlignment="1" applyProtection="1">
      <alignment horizontal="right"/>
      <protection locked="0"/>
    </xf>
    <xf numFmtId="0" fontId="13" fillId="14" borderId="61" xfId="0" applyFont="1" applyFill="1" applyBorder="1" applyAlignment="1">
      <alignment horizontal="center"/>
    </xf>
    <xf numFmtId="0" fontId="13" fillId="14" borderId="6" xfId="0" applyFont="1" applyFill="1" applyBorder="1" applyAlignment="1">
      <alignment horizontal="center"/>
    </xf>
    <xf numFmtId="3" fontId="21" fillId="14" borderId="7" xfId="0" applyNumberFormat="1" applyFont="1" applyFill="1" applyBorder="1" applyAlignment="1" applyProtection="1">
      <alignment horizontal="left"/>
      <protection locked="0"/>
    </xf>
    <xf numFmtId="165" fontId="21" fillId="14" borderId="28" xfId="0" quotePrefix="1" applyNumberFormat="1" applyFont="1" applyFill="1" applyBorder="1" applyAlignment="1" applyProtection="1">
      <alignment horizontal="left"/>
      <protection locked="0"/>
    </xf>
    <xf numFmtId="0" fontId="20" fillId="14" borderId="61" xfId="0" applyFont="1" applyFill="1" applyBorder="1" applyAlignment="1">
      <alignment horizontal="center"/>
    </xf>
    <xf numFmtId="0" fontId="20" fillId="14" borderId="6" xfId="0" applyFont="1" applyFill="1" applyBorder="1" applyAlignment="1">
      <alignment horizontal="center"/>
    </xf>
    <xf numFmtId="170" fontId="11" fillId="3" borderId="25" xfId="0" quotePrefix="1" applyNumberFormat="1" applyFont="1" applyFill="1" applyBorder="1"/>
    <xf numFmtId="0" fontId="14" fillId="8" borderId="60" xfId="0" applyFont="1" applyFill="1" applyBorder="1" applyAlignment="1">
      <alignment horizontal="center"/>
    </xf>
    <xf numFmtId="0" fontId="14" fillId="8" borderId="59" xfId="0" applyFont="1" applyFill="1" applyBorder="1" applyAlignment="1">
      <alignment horizontal="center"/>
    </xf>
    <xf numFmtId="6" fontId="14" fillId="8" borderId="59" xfId="0" applyNumberFormat="1" applyFont="1" applyFill="1" applyBorder="1" applyAlignment="1">
      <alignment horizontal="center"/>
    </xf>
    <xf numFmtId="6" fontId="14" fillId="8" borderId="60" xfId="0" applyNumberFormat="1" applyFont="1" applyFill="1" applyBorder="1" applyAlignment="1">
      <alignment horizontal="center"/>
    </xf>
    <xf numFmtId="165" fontId="15" fillId="2" borderId="10" xfId="2" applyNumberFormat="1" applyFont="1" applyFill="1" applyBorder="1" applyAlignment="1">
      <alignment horizontal="left"/>
    </xf>
    <xf numFmtId="165" fontId="20" fillId="13" borderId="27" xfId="0" applyNumberFormat="1" applyFont="1" applyFill="1" applyBorder="1" applyAlignment="1">
      <alignment horizontal="right"/>
    </xf>
    <xf numFmtId="169" fontId="14" fillId="8" borderId="0" xfId="0" applyNumberFormat="1" applyFont="1" applyFill="1"/>
    <xf numFmtId="1" fontId="13" fillId="2" borderId="8" xfId="0" applyNumberFormat="1" applyFont="1" applyFill="1" applyBorder="1" applyAlignment="1">
      <alignment horizontal="right"/>
    </xf>
    <xf numFmtId="0" fontId="14" fillId="8" borderId="10" xfId="0" applyFont="1" applyFill="1" applyBorder="1"/>
    <xf numFmtId="49" fontId="11" fillId="3" borderId="7" xfId="0" quotePrefix="1" applyNumberFormat="1" applyFont="1" applyFill="1" applyBorder="1"/>
    <xf numFmtId="49" fontId="11" fillId="3" borderId="20" xfId="0" quotePrefix="1" applyNumberFormat="1" applyFont="1" applyFill="1" applyBorder="1"/>
    <xf numFmtId="0" fontId="16" fillId="8" borderId="10" xfId="0" applyFont="1" applyFill="1" applyBorder="1"/>
    <xf numFmtId="0" fontId="16" fillId="8" borderId="0" xfId="0" applyFont="1" applyFill="1"/>
    <xf numFmtId="0" fontId="16" fillId="0" borderId="0" xfId="0" applyFont="1"/>
    <xf numFmtId="1" fontId="0" fillId="0" borderId="0" xfId="0" applyNumberFormat="1"/>
    <xf numFmtId="1" fontId="15" fillId="7" borderId="20" xfId="2" applyNumberFormat="1" applyFont="1" applyFill="1" applyBorder="1" applyAlignment="1">
      <alignment horizontal="left"/>
    </xf>
    <xf numFmtId="0" fontId="11" fillId="2" borderId="17" xfId="0" applyFont="1" applyFill="1" applyBorder="1"/>
    <xf numFmtId="3" fontId="13" fillId="7" borderId="8" xfId="2" applyNumberFormat="1" applyFont="1" applyFill="1" applyBorder="1" applyAlignment="1">
      <alignment horizontal="right"/>
    </xf>
    <xf numFmtId="3" fontId="15" fillId="7" borderId="7" xfId="2" applyNumberFormat="1" applyFont="1" applyFill="1" applyBorder="1" applyAlignment="1">
      <alignment horizontal="left"/>
    </xf>
    <xf numFmtId="3" fontId="13" fillId="7" borderId="59" xfId="2" applyNumberFormat="1" applyFont="1" applyFill="1" applyBorder="1" applyAlignment="1">
      <alignment horizontal="right"/>
    </xf>
    <xf numFmtId="3" fontId="15" fillId="7" borderId="60" xfId="2" applyNumberFormat="1" applyFont="1" applyFill="1" applyBorder="1" applyAlignment="1">
      <alignment horizontal="left"/>
    </xf>
    <xf numFmtId="3" fontId="13" fillId="7" borderId="7" xfId="2" applyNumberFormat="1" applyFont="1" applyFill="1" applyBorder="1" applyAlignment="1">
      <alignment horizontal="right"/>
    </xf>
    <xf numFmtId="3" fontId="13" fillId="2" borderId="8" xfId="2" applyNumberFormat="1" applyFont="1" applyFill="1" applyBorder="1" applyAlignment="1">
      <alignment horizontal="right"/>
    </xf>
    <xf numFmtId="3" fontId="15" fillId="2" borderId="7" xfId="2" applyNumberFormat="1" applyFont="1" applyFill="1" applyBorder="1" applyAlignment="1">
      <alignment horizontal="left"/>
    </xf>
    <xf numFmtId="3" fontId="13" fillId="2" borderId="59" xfId="2" applyNumberFormat="1" applyFont="1" applyFill="1" applyBorder="1" applyAlignment="1">
      <alignment horizontal="right"/>
    </xf>
    <xf numFmtId="3" fontId="15" fillId="2" borderId="60" xfId="2" applyNumberFormat="1" applyFont="1" applyFill="1" applyBorder="1" applyAlignment="1">
      <alignment horizontal="left"/>
    </xf>
    <xf numFmtId="3" fontId="15" fillId="2" borderId="16" xfId="2" applyNumberFormat="1" applyFont="1" applyFill="1" applyBorder="1" applyAlignment="1">
      <alignment horizontal="left"/>
    </xf>
    <xf numFmtId="3" fontId="15" fillId="2" borderId="20" xfId="2" applyNumberFormat="1" applyFont="1" applyFill="1" applyBorder="1" applyAlignment="1">
      <alignment horizontal="left"/>
    </xf>
    <xf numFmtId="0" fontId="13" fillId="8" borderId="0" xfId="0" applyFont="1" applyFill="1" applyAlignment="1">
      <alignment wrapText="1"/>
    </xf>
    <xf numFmtId="0" fontId="13" fillId="8" borderId="10" xfId="0" applyFont="1" applyFill="1" applyBorder="1" applyAlignment="1">
      <alignment wrapText="1"/>
    </xf>
    <xf numFmtId="171" fontId="14" fillId="8" borderId="0" xfId="0" applyNumberFormat="1" applyFont="1" applyFill="1"/>
    <xf numFmtId="165" fontId="14" fillId="8" borderId="66" xfId="0" applyNumberFormat="1" applyFont="1" applyFill="1" applyBorder="1" applyAlignment="1">
      <alignment horizontal="center"/>
    </xf>
    <xf numFmtId="165" fontId="14" fillId="8" borderId="67" xfId="0" applyNumberFormat="1" applyFont="1" applyFill="1" applyBorder="1" applyAlignment="1">
      <alignment horizontal="center"/>
    </xf>
    <xf numFmtId="1" fontId="14" fillId="8" borderId="57" xfId="0" applyNumberFormat="1" applyFont="1" applyFill="1" applyBorder="1" applyAlignment="1" applyProtection="1">
      <alignment horizontal="center"/>
      <protection locked="0"/>
    </xf>
    <xf numFmtId="1" fontId="14" fillId="8" borderId="58" xfId="0" applyNumberFormat="1" applyFont="1" applyFill="1" applyBorder="1" applyAlignment="1" applyProtection="1">
      <alignment horizontal="center"/>
      <protection locked="0"/>
    </xf>
    <xf numFmtId="0" fontId="12" fillId="8" borderId="0" xfId="0" applyFont="1" applyFill="1" applyAlignment="1">
      <alignment horizontal="left"/>
    </xf>
    <xf numFmtId="1" fontId="14" fillId="8" borderId="54" xfId="0" applyNumberFormat="1" applyFont="1" applyFill="1" applyBorder="1" applyAlignment="1" applyProtection="1">
      <alignment horizontal="center"/>
      <protection locked="0"/>
    </xf>
    <xf numFmtId="1" fontId="14" fillId="8" borderId="51" xfId="0" applyNumberFormat="1" applyFont="1" applyFill="1" applyBorder="1" applyAlignment="1">
      <alignment horizontal="center"/>
    </xf>
    <xf numFmtId="166" fontId="14" fillId="8" borderId="49" xfId="2" applyNumberFormat="1" applyFont="1" applyFill="1" applyBorder="1" applyAlignment="1">
      <alignment horizontal="center"/>
    </xf>
    <xf numFmtId="6" fontId="14" fillId="8" borderId="49" xfId="0" applyNumberFormat="1" applyFont="1" applyFill="1" applyBorder="1" applyAlignment="1">
      <alignment horizontal="center"/>
    </xf>
    <xf numFmtId="166" fontId="13" fillId="8" borderId="52" xfId="2" applyNumberFormat="1" applyFont="1" applyFill="1" applyBorder="1" applyAlignment="1">
      <alignment horizontal="center"/>
    </xf>
    <xf numFmtId="165" fontId="14" fillId="8" borderId="56" xfId="0" applyNumberFormat="1" applyFont="1" applyFill="1" applyBorder="1" applyAlignment="1">
      <alignment horizontal="center"/>
    </xf>
    <xf numFmtId="165" fontId="14" fillId="8" borderId="34" xfId="0" applyNumberFormat="1" applyFont="1" applyFill="1" applyBorder="1" applyAlignment="1">
      <alignment horizontal="center"/>
    </xf>
    <xf numFmtId="165" fontId="14" fillId="8" borderId="33" xfId="0" applyNumberFormat="1" applyFont="1" applyFill="1" applyBorder="1" applyAlignment="1">
      <alignment horizontal="center"/>
    </xf>
    <xf numFmtId="166" fontId="13" fillId="3" borderId="55" xfId="2" applyNumberFormat="1" applyFont="1" applyFill="1" applyBorder="1" applyAlignment="1">
      <alignment horizontal="center"/>
    </xf>
    <xf numFmtId="1" fontId="14" fillId="8" borderId="13" xfId="0" applyNumberFormat="1" applyFont="1" applyFill="1" applyBorder="1" applyAlignment="1" applyProtection="1">
      <alignment horizontal="center"/>
      <protection locked="0"/>
    </xf>
    <xf numFmtId="1" fontId="14" fillId="8" borderId="0" xfId="0" applyNumberFormat="1" applyFont="1" applyFill="1" applyAlignment="1" applyProtection="1">
      <alignment horizontal="center"/>
      <protection locked="0"/>
    </xf>
    <xf numFmtId="1" fontId="14" fillId="8" borderId="38" xfId="0" applyNumberFormat="1" applyFont="1" applyFill="1" applyBorder="1" applyAlignment="1">
      <alignment horizontal="center"/>
    </xf>
    <xf numFmtId="1" fontId="14" fillId="8" borderId="10" xfId="0" applyNumberFormat="1" applyFont="1" applyFill="1" applyBorder="1" applyAlignment="1">
      <alignment horizontal="center"/>
    </xf>
    <xf numFmtId="166" fontId="14" fillId="8" borderId="8" xfId="2" applyNumberFormat="1" applyFont="1" applyFill="1" applyBorder="1" applyAlignment="1">
      <alignment horizontal="center"/>
    </xf>
    <xf numFmtId="166" fontId="14" fillId="8" borderId="7" xfId="2" applyNumberFormat="1" applyFont="1" applyFill="1" applyBorder="1" applyAlignment="1">
      <alignment horizontal="center"/>
    </xf>
    <xf numFmtId="166" fontId="13" fillId="3" borderId="42" xfId="2" applyNumberFormat="1" applyFont="1" applyFill="1" applyBorder="1" applyAlignment="1">
      <alignment horizontal="center"/>
    </xf>
    <xf numFmtId="166" fontId="13" fillId="3" borderId="31" xfId="2" applyNumberFormat="1" applyFont="1" applyFill="1" applyBorder="1" applyAlignment="1">
      <alignment horizontal="center"/>
    </xf>
    <xf numFmtId="1" fontId="14" fillId="8" borderId="22" xfId="0" applyNumberFormat="1" applyFont="1" applyFill="1" applyBorder="1" applyAlignment="1" applyProtection="1">
      <alignment horizontal="center"/>
      <protection locked="0"/>
    </xf>
    <xf numFmtId="6" fontId="14" fillId="8" borderId="7" xfId="0" applyNumberFormat="1" applyFont="1" applyFill="1" applyBorder="1" applyAlignment="1">
      <alignment horizontal="center"/>
    </xf>
    <xf numFmtId="6" fontId="14" fillId="8" borderId="20" xfId="0" applyNumberFormat="1" applyFont="1" applyFill="1" applyBorder="1" applyAlignment="1">
      <alignment horizontal="center"/>
    </xf>
    <xf numFmtId="166" fontId="14" fillId="8" borderId="20" xfId="2" applyNumberFormat="1" applyFont="1" applyFill="1" applyBorder="1" applyAlignment="1">
      <alignment horizontal="center"/>
    </xf>
    <xf numFmtId="1" fontId="14" fillId="8" borderId="23" xfId="0" applyNumberFormat="1" applyFont="1" applyFill="1" applyBorder="1" applyAlignment="1">
      <alignment horizontal="center"/>
    </xf>
    <xf numFmtId="6" fontId="14" fillId="8" borderId="8" xfId="0" applyNumberFormat="1" applyFont="1" applyFill="1" applyBorder="1" applyAlignment="1">
      <alignment horizontal="center"/>
    </xf>
    <xf numFmtId="166" fontId="13" fillId="8" borderId="28" xfId="2" applyNumberFormat="1" applyFont="1" applyFill="1" applyBorder="1" applyAlignment="1">
      <alignment horizontal="center"/>
    </xf>
    <xf numFmtId="166" fontId="13" fillId="8" borderId="27" xfId="2" applyNumberFormat="1" applyFont="1" applyFill="1" applyBorder="1" applyAlignment="1">
      <alignment horizontal="center"/>
    </xf>
    <xf numFmtId="165" fontId="14" fillId="8" borderId="35" xfId="0" applyNumberFormat="1" applyFont="1" applyFill="1" applyBorder="1" applyAlignment="1">
      <alignment horizontal="center"/>
    </xf>
    <xf numFmtId="166" fontId="13" fillId="8" borderId="30" xfId="2" applyNumberFormat="1" applyFont="1" applyFill="1" applyBorder="1" applyAlignment="1">
      <alignment horizontal="center"/>
    </xf>
    <xf numFmtId="166" fontId="13" fillId="3" borderId="32" xfId="2" applyNumberFormat="1" applyFont="1" applyFill="1" applyBorder="1" applyAlignment="1">
      <alignment horizontal="center"/>
    </xf>
    <xf numFmtId="1" fontId="14" fillId="8" borderId="0" xfId="0" applyNumberFormat="1" applyFont="1" applyFill="1" applyAlignment="1">
      <alignment horizontal="center"/>
    </xf>
    <xf numFmtId="1" fontId="14" fillId="8" borderId="22" xfId="0" applyNumberFormat="1" applyFont="1" applyFill="1" applyBorder="1" applyAlignment="1">
      <alignment horizontal="center"/>
    </xf>
    <xf numFmtId="1" fontId="14" fillId="8" borderId="54" xfId="0" applyNumberFormat="1" applyFont="1" applyFill="1" applyBorder="1" applyAlignment="1">
      <alignment horizontal="center"/>
    </xf>
    <xf numFmtId="166" fontId="13" fillId="3" borderId="53" xfId="2" applyNumberFormat="1" applyFont="1" applyFill="1" applyBorder="1" applyAlignment="1">
      <alignment horizontal="center"/>
    </xf>
    <xf numFmtId="166" fontId="13" fillId="3" borderId="36" xfId="2" applyNumberFormat="1" applyFont="1" applyFill="1" applyBorder="1" applyAlignment="1">
      <alignment horizontal="center"/>
    </xf>
    <xf numFmtId="166" fontId="13" fillId="3" borderId="37" xfId="2" applyNumberFormat="1" applyFont="1" applyFill="1" applyBorder="1" applyAlignment="1">
      <alignment horizontal="center"/>
    </xf>
    <xf numFmtId="0" fontId="14" fillId="8" borderId="7" xfId="0" applyFont="1" applyFill="1" applyBorder="1" applyAlignment="1">
      <alignment horizontal="center"/>
    </xf>
    <xf numFmtId="0" fontId="14" fillId="8" borderId="20" xfId="0" applyFont="1" applyFill="1" applyBorder="1" applyAlignment="1">
      <alignment horizontal="center"/>
    </xf>
    <xf numFmtId="0" fontId="14" fillId="8" borderId="49" xfId="0" applyFont="1" applyFill="1" applyBorder="1" applyAlignment="1">
      <alignment horizontal="center"/>
    </xf>
    <xf numFmtId="0" fontId="14" fillId="8" borderId="8" xfId="0" applyFont="1" applyFill="1" applyBorder="1" applyAlignment="1">
      <alignment horizontal="center"/>
    </xf>
    <xf numFmtId="1" fontId="14" fillId="8" borderId="6" xfId="0" applyNumberFormat="1" applyFont="1" applyFill="1" applyBorder="1" applyAlignment="1" applyProtection="1">
      <alignment horizontal="center"/>
      <protection locked="0"/>
    </xf>
    <xf numFmtId="1" fontId="14" fillId="8" borderId="21" xfId="0" applyNumberFormat="1" applyFont="1" applyFill="1" applyBorder="1" applyAlignment="1" applyProtection="1">
      <alignment horizontal="center"/>
      <protection locked="0"/>
    </xf>
    <xf numFmtId="166" fontId="13" fillId="8" borderId="36" xfId="0" applyNumberFormat="1" applyFont="1" applyFill="1" applyBorder="1" applyAlignment="1">
      <alignment horizontal="center"/>
    </xf>
    <xf numFmtId="166" fontId="13" fillId="8" borderId="37" xfId="0" applyNumberFormat="1" applyFont="1" applyFill="1" applyBorder="1" applyAlignment="1">
      <alignment horizontal="center"/>
    </xf>
    <xf numFmtId="166" fontId="13" fillId="8" borderId="53" xfId="0" applyNumberFormat="1" applyFont="1" applyFill="1" applyBorder="1" applyAlignment="1">
      <alignment horizontal="center"/>
    </xf>
    <xf numFmtId="1" fontId="14" fillId="8" borderId="61" xfId="0" applyNumberFormat="1" applyFont="1" applyFill="1" applyBorder="1" applyAlignment="1" applyProtection="1">
      <alignment horizontal="center"/>
      <protection locked="0"/>
    </xf>
    <xf numFmtId="1" fontId="14" fillId="8" borderId="63" xfId="0" applyNumberFormat="1" applyFont="1" applyFill="1" applyBorder="1" applyAlignment="1" applyProtection="1">
      <alignment horizontal="center"/>
      <protection locked="0"/>
    </xf>
    <xf numFmtId="0" fontId="14" fillId="8" borderId="59" xfId="0" applyFont="1" applyFill="1" applyBorder="1" applyAlignment="1">
      <alignment horizontal="center"/>
    </xf>
    <xf numFmtId="1" fontId="14" fillId="8" borderId="50" xfId="0" applyNumberFormat="1" applyFont="1" applyFill="1" applyBorder="1" applyAlignment="1" applyProtection="1">
      <alignment horizontal="center"/>
      <protection locked="0"/>
    </xf>
    <xf numFmtId="166" fontId="13" fillId="8" borderId="39" xfId="0" applyNumberFormat="1" applyFont="1" applyFill="1" applyBorder="1" applyAlignment="1">
      <alignment horizontal="center"/>
    </xf>
    <xf numFmtId="1" fontId="14" fillId="8" borderId="5" xfId="0" applyNumberFormat="1" applyFont="1" applyFill="1" applyBorder="1" applyAlignment="1" applyProtection="1">
      <alignment horizontal="center"/>
      <protection locked="0"/>
    </xf>
    <xf numFmtId="166" fontId="13" fillId="8" borderId="69" xfId="0" applyNumberFormat="1" applyFont="1" applyFill="1" applyBorder="1" applyAlignment="1">
      <alignment horizontal="center"/>
    </xf>
    <xf numFmtId="1" fontId="14" fillId="8" borderId="13" xfId="0" applyNumberFormat="1" applyFont="1" applyFill="1" applyBorder="1" applyAlignment="1">
      <alignment horizontal="center"/>
    </xf>
    <xf numFmtId="166" fontId="13" fillId="3" borderId="39" xfId="2" applyNumberFormat="1" applyFont="1" applyFill="1" applyBorder="1" applyAlignment="1">
      <alignment horizontal="center"/>
    </xf>
    <xf numFmtId="0" fontId="13" fillId="14" borderId="50" xfId="0" applyFont="1" applyFill="1" applyBorder="1" applyAlignment="1">
      <alignment horizontal="center"/>
    </xf>
    <xf numFmtId="0" fontId="13" fillId="8" borderId="5" xfId="0" applyFont="1" applyFill="1" applyBorder="1" applyAlignment="1">
      <alignment horizontal="center"/>
    </xf>
    <xf numFmtId="0" fontId="13" fillId="8" borderId="6" xfId="0" applyFont="1" applyFill="1" applyBorder="1" applyAlignment="1">
      <alignment horizontal="center"/>
    </xf>
    <xf numFmtId="0" fontId="13" fillId="8" borderId="50" xfId="0" applyFont="1" applyFill="1" applyBorder="1" applyAlignment="1">
      <alignment horizontal="center"/>
    </xf>
    <xf numFmtId="0" fontId="13" fillId="8" borderId="21" xfId="0" applyFont="1" applyFill="1" applyBorder="1" applyAlignment="1">
      <alignment horizontal="center"/>
    </xf>
    <xf numFmtId="0" fontId="13" fillId="8" borderId="51" xfId="0" applyFont="1" applyFill="1" applyBorder="1" applyAlignment="1">
      <alignment horizontal="center"/>
    </xf>
    <xf numFmtId="0" fontId="13" fillId="8" borderId="10" xfId="0" applyFont="1" applyFill="1" applyBorder="1" applyAlignment="1">
      <alignment horizontal="center"/>
    </xf>
    <xf numFmtId="0" fontId="13" fillId="8" borderId="23" xfId="0" applyFont="1" applyFill="1" applyBorder="1" applyAlignment="1">
      <alignment horizontal="center"/>
    </xf>
    <xf numFmtId="0" fontId="13" fillId="8" borderId="38" xfId="0" applyFont="1" applyFill="1" applyBorder="1" applyAlignment="1">
      <alignment horizontal="center"/>
    </xf>
    <xf numFmtId="0" fontId="20" fillId="14" borderId="51" xfId="0" applyFont="1" applyFill="1" applyBorder="1" applyAlignment="1">
      <alignment horizontal="center"/>
    </xf>
    <xf numFmtId="0" fontId="13" fillId="8" borderId="61" xfId="0" applyFont="1" applyFill="1" applyBorder="1" applyAlignment="1">
      <alignment horizontal="center"/>
    </xf>
    <xf numFmtId="0" fontId="13" fillId="8" borderId="62" xfId="0" applyFont="1" applyFill="1" applyBorder="1" applyAlignment="1">
      <alignment horizontal="center"/>
    </xf>
    <xf numFmtId="0" fontId="13" fillId="12" borderId="0" xfId="0" applyFont="1" applyFill="1" applyAlignment="1">
      <alignment horizontal="center" wrapText="1"/>
    </xf>
    <xf numFmtId="0" fontId="13" fillId="12" borderId="10" xfId="0" applyFont="1" applyFill="1" applyBorder="1" applyAlignment="1">
      <alignment horizontal="center" wrapText="1"/>
    </xf>
    <xf numFmtId="0" fontId="13" fillId="8" borderId="8" xfId="0" applyFont="1" applyFill="1" applyBorder="1" applyAlignment="1">
      <alignment horizontal="center"/>
    </xf>
    <xf numFmtId="0" fontId="13" fillId="8" borderId="7" xfId="0" applyFont="1" applyFill="1" applyBorder="1" applyAlignment="1">
      <alignment horizontal="center"/>
    </xf>
    <xf numFmtId="0" fontId="13" fillId="8" borderId="20" xfId="0" applyFont="1" applyFill="1" applyBorder="1" applyAlignment="1">
      <alignment horizontal="center"/>
    </xf>
    <xf numFmtId="0" fontId="3" fillId="0" borderId="7" xfId="0" applyFont="1" applyBorder="1" applyAlignment="1">
      <alignment horizontal="left"/>
    </xf>
    <xf numFmtId="0" fontId="3" fillId="6" borderId="0" xfId="0" applyFont="1" applyFill="1" applyAlignment="1">
      <alignment horizontal="center"/>
    </xf>
    <xf numFmtId="0" fontId="3" fillId="7" borderId="0" xfId="0" applyFont="1" applyFill="1" applyAlignment="1">
      <alignment horizontal="center"/>
    </xf>
    <xf numFmtId="0" fontId="3" fillId="5" borderId="0" xfId="0" applyFont="1" applyFill="1" applyAlignment="1">
      <alignment horizontal="center"/>
    </xf>
    <xf numFmtId="0" fontId="3" fillId="4" borderId="0" xfId="0" applyFont="1" applyFill="1" applyAlignment="1">
      <alignment horizontal="center"/>
    </xf>
    <xf numFmtId="166" fontId="13" fillId="3" borderId="40" xfId="2" applyNumberFormat="1" applyFont="1" applyFill="1" applyBorder="1" applyAlignment="1">
      <alignment horizontal="center"/>
    </xf>
    <xf numFmtId="166" fontId="13" fillId="8" borderId="29" xfId="2" applyNumberFormat="1" applyFont="1" applyFill="1" applyBorder="1" applyAlignment="1">
      <alignment horizontal="center"/>
    </xf>
    <xf numFmtId="1" fontId="14" fillId="8" borderId="57" xfId="0" applyNumberFormat="1" applyFont="1" applyFill="1" applyBorder="1" applyAlignment="1">
      <alignment horizontal="center"/>
    </xf>
    <xf numFmtId="1" fontId="14" fillId="8" borderId="58" xfId="0" applyNumberFormat="1" applyFont="1" applyFill="1" applyBorder="1" applyAlignment="1">
      <alignment horizontal="center"/>
    </xf>
    <xf numFmtId="166" fontId="13" fillId="3" borderId="69" xfId="2" applyNumberFormat="1" applyFont="1" applyFill="1" applyBorder="1" applyAlignment="1">
      <alignment horizontal="center"/>
    </xf>
    <xf numFmtId="166" fontId="13" fillId="3" borderId="70" xfId="2" applyNumberFormat="1" applyFont="1" applyFill="1" applyBorder="1" applyAlignment="1">
      <alignment horizontal="center"/>
    </xf>
    <xf numFmtId="166" fontId="13" fillId="8" borderId="64" xfId="2" applyNumberFormat="1" applyFont="1" applyFill="1" applyBorder="1" applyAlignment="1">
      <alignment horizontal="center"/>
    </xf>
    <xf numFmtId="166" fontId="13" fillId="8" borderId="65" xfId="2" applyNumberFormat="1" applyFont="1" applyFill="1" applyBorder="1" applyAlignment="1">
      <alignment horizontal="center"/>
    </xf>
    <xf numFmtId="166" fontId="14" fillId="8" borderId="59" xfId="2" applyNumberFormat="1" applyFont="1" applyFill="1" applyBorder="1" applyAlignment="1">
      <alignment horizontal="center"/>
    </xf>
    <xf numFmtId="0" fontId="12" fillId="8" borderId="6" xfId="0" applyFont="1" applyFill="1" applyBorder="1" applyAlignment="1">
      <alignment horizontal="left"/>
    </xf>
    <xf numFmtId="1" fontId="14" fillId="8" borderId="62" xfId="0" applyNumberFormat="1" applyFont="1" applyFill="1" applyBorder="1" applyAlignment="1">
      <alignment horizontal="center"/>
    </xf>
    <xf numFmtId="166" fontId="13" fillId="3" borderId="71" xfId="2" applyNumberFormat="1" applyFont="1" applyFill="1" applyBorder="1" applyAlignment="1">
      <alignment horizontal="center"/>
    </xf>
    <xf numFmtId="166" fontId="13" fillId="3" borderId="72" xfId="2" applyNumberFormat="1" applyFont="1" applyFill="1" applyBorder="1" applyAlignment="1">
      <alignment horizontal="center"/>
    </xf>
    <xf numFmtId="1" fontId="14" fillId="8" borderId="15" xfId="0" applyNumberFormat="1" applyFont="1" applyFill="1" applyBorder="1" applyAlignment="1" applyProtection="1">
      <alignment horizontal="center"/>
      <protection locked="0"/>
    </xf>
    <xf numFmtId="1" fontId="14" fillId="8" borderId="15" xfId="0" applyNumberFormat="1" applyFont="1" applyFill="1" applyBorder="1" applyAlignment="1">
      <alignment horizontal="center"/>
    </xf>
    <xf numFmtId="1" fontId="14" fillId="8" borderId="68" xfId="0" applyNumberFormat="1" applyFont="1" applyFill="1" applyBorder="1" applyAlignment="1">
      <alignment horizontal="center"/>
    </xf>
    <xf numFmtId="166" fontId="14" fillId="8" borderId="60" xfId="2" applyNumberFormat="1" applyFont="1" applyFill="1" applyBorder="1" applyAlignment="1">
      <alignment horizontal="center"/>
    </xf>
    <xf numFmtId="1" fontId="14" fillId="8" borderId="41" xfId="0" applyNumberFormat="1" applyFont="1" applyFill="1" applyBorder="1" applyAlignment="1">
      <alignment horizontal="center"/>
    </xf>
    <xf numFmtId="166" fontId="14" fillId="8" borderId="16" xfId="2" applyNumberFormat="1" applyFont="1" applyFill="1" applyBorder="1" applyAlignment="1">
      <alignment horizontal="center"/>
    </xf>
    <xf numFmtId="166" fontId="13" fillId="3" borderId="43" xfId="2" applyNumberFormat="1" applyFont="1" applyFill="1" applyBorder="1" applyAlignment="1">
      <alignment horizontal="center"/>
    </xf>
    <xf numFmtId="166" fontId="13" fillId="8" borderId="70" xfId="0" applyNumberFormat="1" applyFont="1" applyFill="1" applyBorder="1" applyAlignment="1">
      <alignment horizontal="center"/>
    </xf>
    <xf numFmtId="166" fontId="13" fillId="8" borderId="43" xfId="0" applyNumberFormat="1" applyFont="1" applyFill="1" applyBorder="1" applyAlignment="1">
      <alignment horizontal="center"/>
    </xf>
    <xf numFmtId="0" fontId="20" fillId="14" borderId="62" xfId="0" applyFont="1" applyFill="1" applyBorder="1" applyAlignment="1">
      <alignment horizontal="center"/>
    </xf>
    <xf numFmtId="0" fontId="20" fillId="14" borderId="10" xfId="0" applyFont="1" applyFill="1" applyBorder="1" applyAlignment="1">
      <alignment horizontal="center"/>
    </xf>
    <xf numFmtId="0" fontId="13" fillId="8" borderId="68" xfId="0" applyFont="1" applyFill="1" applyBorder="1" applyAlignment="1">
      <alignment horizontal="center"/>
    </xf>
    <xf numFmtId="0" fontId="13" fillId="8" borderId="44" xfId="0" applyFont="1" applyFill="1" applyBorder="1" applyAlignment="1">
      <alignment horizontal="center"/>
    </xf>
    <xf numFmtId="0" fontId="13" fillId="8" borderId="41" xfId="0" applyFont="1" applyFill="1" applyBorder="1" applyAlignment="1">
      <alignment horizontal="center"/>
    </xf>
    <xf numFmtId="0" fontId="13" fillId="8" borderId="0" xfId="0" applyFont="1" applyFill="1" applyAlignment="1">
      <alignment horizontal="center"/>
    </xf>
    <xf numFmtId="0" fontId="13" fillId="8" borderId="22" xfId="0" applyFont="1" applyFill="1" applyBorder="1" applyAlignment="1">
      <alignment horizontal="center"/>
    </xf>
    <xf numFmtId="166" fontId="13" fillId="8" borderId="45" xfId="0" applyNumberFormat="1" applyFont="1" applyFill="1" applyBorder="1" applyAlignment="1">
      <alignment horizontal="center"/>
    </xf>
    <xf numFmtId="166" fontId="13" fillId="8" borderId="46" xfId="0" applyNumberFormat="1" applyFont="1" applyFill="1" applyBorder="1" applyAlignment="1">
      <alignment horizontal="center"/>
    </xf>
    <xf numFmtId="1" fontId="14" fillId="8" borderId="44" xfId="0" applyNumberFormat="1" applyFont="1" applyFill="1" applyBorder="1" applyAlignment="1" applyProtection="1">
      <alignment horizontal="center"/>
      <protection locked="0"/>
    </xf>
    <xf numFmtId="0" fontId="11" fillId="12" borderId="0" xfId="0" applyFont="1" applyFill="1" applyAlignment="1">
      <alignment horizontal="center" wrapText="1"/>
    </xf>
    <xf numFmtId="0" fontId="11" fillId="12" borderId="10" xfId="0" applyFont="1" applyFill="1" applyBorder="1" applyAlignment="1">
      <alignment horizontal="center" wrapText="1"/>
    </xf>
    <xf numFmtId="0" fontId="1" fillId="8" borderId="0" xfId="0" applyFont="1" applyFill="1" applyAlignment="1">
      <alignment horizontal="left" vertical="top" wrapText="1"/>
    </xf>
    <xf numFmtId="0" fontId="3" fillId="8" borderId="10" xfId="0" applyFont="1" applyFill="1" applyBorder="1" applyAlignment="1">
      <alignment horizontal="center" vertical="center"/>
    </xf>
    <xf numFmtId="0" fontId="3" fillId="11" borderId="10" xfId="0" applyFont="1" applyFill="1" applyBorder="1" applyAlignment="1">
      <alignment horizontal="center" vertical="center"/>
    </xf>
    <xf numFmtId="0" fontId="1" fillId="8" borderId="0" xfId="0" applyFont="1" applyFill="1" applyAlignment="1">
      <alignment horizontal="left" vertical="center" wrapText="1"/>
    </xf>
    <xf numFmtId="0" fontId="13" fillId="10" borderId="10" xfId="0" applyFont="1" applyFill="1" applyBorder="1" applyAlignment="1">
      <alignment horizontal="center" vertical="center"/>
    </xf>
    <xf numFmtId="0" fontId="18" fillId="8" borderId="47" xfId="0" applyFont="1" applyFill="1" applyBorder="1" applyAlignment="1">
      <alignment horizontal="center" vertical="center"/>
    </xf>
    <xf numFmtId="0" fontId="18" fillId="8" borderId="45" xfId="0" applyFont="1" applyFill="1" applyBorder="1" applyAlignment="1">
      <alignment horizontal="center" vertical="center"/>
    </xf>
    <xf numFmtId="0" fontId="18" fillId="8" borderId="48" xfId="0" applyFont="1" applyFill="1" applyBorder="1" applyAlignment="1">
      <alignment horizontal="center" vertical="center"/>
    </xf>
    <xf numFmtId="0" fontId="17" fillId="8" borderId="13" xfId="0" applyFont="1" applyFill="1" applyBorder="1" applyAlignment="1">
      <alignment horizontal="center" vertical="top"/>
    </xf>
    <xf numFmtId="0" fontId="17" fillId="8" borderId="0" xfId="0" applyFont="1" applyFill="1" applyAlignment="1">
      <alignment horizontal="center" vertical="top"/>
    </xf>
    <xf numFmtId="0" fontId="17" fillId="8" borderId="15" xfId="0" applyFont="1" applyFill="1" applyBorder="1" applyAlignment="1">
      <alignment horizontal="center" vertical="top"/>
    </xf>
    <xf numFmtId="0" fontId="14" fillId="8" borderId="0" xfId="0" applyFont="1" applyFill="1" applyAlignment="1">
      <alignment horizontal="left"/>
    </xf>
    <xf numFmtId="0" fontId="14" fillId="8" borderId="0" xfId="0" quotePrefix="1" applyFont="1" applyFill="1" applyAlignment="1">
      <alignment horizontal="left"/>
    </xf>
    <xf numFmtId="0" fontId="6" fillId="8" borderId="7" xfId="0" applyFont="1" applyFill="1" applyBorder="1" applyAlignment="1">
      <alignment horizontal="center"/>
    </xf>
    <xf numFmtId="0" fontId="3" fillId="8" borderId="0" xfId="0" applyFont="1" applyFill="1" applyAlignment="1">
      <alignment horizontal="center"/>
    </xf>
    <xf numFmtId="0" fontId="3" fillId="8" borderId="10" xfId="0" applyFont="1" applyFill="1" applyBorder="1" applyAlignment="1">
      <alignment horizontal="center"/>
    </xf>
    <xf numFmtId="0" fontId="6" fillId="8" borderId="10" xfId="0" applyFont="1" applyFill="1" applyBorder="1" applyAlignment="1">
      <alignment horizontal="center"/>
    </xf>
    <xf numFmtId="0" fontId="6" fillId="8" borderId="6" xfId="0" applyFont="1" applyFill="1" applyBorder="1" applyAlignment="1">
      <alignment horizontal="center"/>
    </xf>
    <xf numFmtId="0" fontId="5" fillId="8" borderId="0" xfId="0" applyFont="1" applyFill="1" applyAlignment="1">
      <alignment horizontal="center"/>
    </xf>
    <xf numFmtId="0" fontId="7" fillId="8" borderId="0" xfId="0" applyFont="1" applyFill="1" applyAlignment="1">
      <alignment horizontal="left"/>
    </xf>
    <xf numFmtId="49" fontId="3" fillId="12" borderId="10" xfId="0" applyNumberFormat="1" applyFont="1" applyFill="1" applyBorder="1" applyAlignment="1">
      <alignment horizontal="left"/>
    </xf>
    <xf numFmtId="0" fontId="7" fillId="8" borderId="10" xfId="0" applyFont="1" applyFill="1" applyBorder="1" applyAlignment="1">
      <alignment horizontal="left"/>
    </xf>
    <xf numFmtId="0" fontId="5" fillId="8" borderId="10" xfId="0" applyFont="1" applyFill="1" applyBorder="1" applyAlignment="1">
      <alignment horizontal="center"/>
    </xf>
  </cellXfs>
  <cellStyles count="15">
    <cellStyle name="Comma" xfId="1"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Hyperlink" xfId="3" builtinId="8"/>
    <cellStyle name="Normal" xfId="0" builtinId="0"/>
    <cellStyle name="Percent" xfId="4" builtinId="5"/>
  </cellStyles>
  <dxfs count="9">
    <dxf>
      <font>
        <condense val="0"/>
        <extend val="0"/>
        <color auto="1"/>
      </font>
      <fill>
        <patternFill>
          <bgColor indexed="44"/>
        </patternFill>
      </fill>
    </dxf>
    <dxf>
      <font>
        <condense val="0"/>
        <extend val="0"/>
        <color auto="1"/>
      </font>
      <fill>
        <patternFill>
          <bgColor indexed="44"/>
        </patternFill>
      </fill>
    </dxf>
    <dxf>
      <font>
        <condense val="0"/>
        <extend val="0"/>
        <color auto="1"/>
      </font>
      <fill>
        <patternFill>
          <bgColor indexed="44"/>
        </patternFill>
      </fill>
    </dxf>
    <dxf>
      <font>
        <condense val="0"/>
        <extend val="0"/>
        <color auto="1"/>
      </font>
      <fill>
        <patternFill>
          <bgColor indexed="44"/>
        </patternFill>
      </fill>
    </dxf>
    <dxf>
      <font>
        <color rgb="FFFF0000"/>
      </font>
    </dxf>
    <dxf>
      <font>
        <b/>
        <i val="0"/>
        <condense val="0"/>
        <extend val="0"/>
        <color indexed="10"/>
      </font>
    </dxf>
    <dxf>
      <font>
        <color rgb="FF9C0006"/>
      </font>
    </dxf>
    <dxf>
      <font>
        <color rgb="FFFF0000"/>
      </font>
    </dxf>
    <dxf>
      <font>
        <b/>
        <i val="0"/>
        <condense val="0"/>
        <extend val="0"/>
        <color indexed="10"/>
      </font>
    </dxf>
  </dxfs>
  <tableStyles count="0" defaultTableStyle="TableStyleMedium2" defaultPivotStyle="PivotStyleLight16"/>
  <colors>
    <mruColors>
      <color rgb="FF0066FF"/>
      <color rgb="FF33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Peanut Price Needed to Give Equal Returns Above Variable Costs to Cotton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Prices!$C$6</c:f>
              <c:strCache>
                <c:ptCount val="1"/>
                <c:pt idx="0">
                  <c:v>Irrigated Peanut</c:v>
                </c:pt>
              </c:strCache>
            </c:strRef>
          </c:tx>
          <c:marker>
            <c:symbol val="circle"/>
            <c:size val="7"/>
          </c:marker>
          <c:dLbls>
            <c:spPr>
              <a:solidFill>
                <a:schemeClr val="accent1">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Prices!$C$7:$C$21</c:f>
              <c:numCache>
                <c:formatCode>_("$"* #,##0_);_("$"* \(#,##0\);_("$"* "-"??_);_(@_)</c:formatCode>
                <c:ptCount val="15"/>
                <c:pt idx="0">
                  <c:v>292.52557930367504</c:v>
                </c:pt>
                <c:pt idx="1">
                  <c:v>305.29153675048354</c:v>
                </c:pt>
                <c:pt idx="2">
                  <c:v>318.05749419729204</c:v>
                </c:pt>
                <c:pt idx="3">
                  <c:v>330.8234516441006</c:v>
                </c:pt>
                <c:pt idx="4">
                  <c:v>343.5894090909091</c:v>
                </c:pt>
                <c:pt idx="5">
                  <c:v>356.35536653771766</c:v>
                </c:pt>
                <c:pt idx="6">
                  <c:v>369.12132398452616</c:v>
                </c:pt>
                <c:pt idx="7">
                  <c:v>381.88728143133466</c:v>
                </c:pt>
                <c:pt idx="8">
                  <c:v>394.65323887814327</c:v>
                </c:pt>
                <c:pt idx="9">
                  <c:v>407.41919632495171</c:v>
                </c:pt>
                <c:pt idx="10">
                  <c:v>420.18515377176027</c:v>
                </c:pt>
                <c:pt idx="11">
                  <c:v>432.95111121856877</c:v>
                </c:pt>
                <c:pt idx="12">
                  <c:v>445.71706866537733</c:v>
                </c:pt>
                <c:pt idx="13">
                  <c:v>458.48302611218583</c:v>
                </c:pt>
                <c:pt idx="14">
                  <c:v>471.24898355899433</c:v>
                </c:pt>
              </c:numCache>
            </c:numRef>
          </c:val>
          <c:smooth val="0"/>
          <c:extLst>
            <c:ext xmlns:c16="http://schemas.microsoft.com/office/drawing/2014/chart" uri="{C3380CC4-5D6E-409C-BE32-E72D297353CC}">
              <c16:uniqueId val="{00000000-EDA0-4511-9B36-F044D1A8B389}"/>
            </c:ext>
          </c:extLst>
        </c:ser>
        <c:ser>
          <c:idx val="1"/>
          <c:order val="1"/>
          <c:tx>
            <c:strRef>
              <c:f>Prices!$C$27</c:f>
              <c:strCache>
                <c:ptCount val="1"/>
                <c:pt idx="0">
                  <c:v>Non Irrigated Peanut</c:v>
                </c:pt>
              </c:strCache>
            </c:strRef>
          </c:tx>
          <c:marker>
            <c:symbol val="square"/>
            <c:size val="6"/>
          </c:marker>
          <c:dLbls>
            <c:spPr>
              <a:solidFill>
                <a:srgbClr val="FF000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Prices!$C$28:$C$42</c:f>
              <c:numCache>
                <c:formatCode>_("$"* #,##0_);_("$"* \(#,##0\);_("$"* "-"??_);_(@_)</c:formatCode>
                <c:ptCount val="15"/>
                <c:pt idx="0">
                  <c:v>313.46151153074862</c:v>
                </c:pt>
                <c:pt idx="1">
                  <c:v>324.49092329545454</c:v>
                </c:pt>
                <c:pt idx="2">
                  <c:v>335.52033506016039</c:v>
                </c:pt>
                <c:pt idx="3">
                  <c:v>346.5497468248663</c:v>
                </c:pt>
                <c:pt idx="4">
                  <c:v>357.57915858957216</c:v>
                </c:pt>
                <c:pt idx="5">
                  <c:v>368.60857035427802</c:v>
                </c:pt>
                <c:pt idx="6">
                  <c:v>379.63798211898393</c:v>
                </c:pt>
                <c:pt idx="7">
                  <c:v>390.66739388368984</c:v>
                </c:pt>
                <c:pt idx="8">
                  <c:v>401.6968056483957</c:v>
                </c:pt>
                <c:pt idx="9">
                  <c:v>412.72621741310161</c:v>
                </c:pt>
                <c:pt idx="10">
                  <c:v>423.75562917780752</c:v>
                </c:pt>
                <c:pt idx="11">
                  <c:v>434.78504094251343</c:v>
                </c:pt>
                <c:pt idx="12">
                  <c:v>445.81445270721929</c:v>
                </c:pt>
                <c:pt idx="13">
                  <c:v>456.84386447192514</c:v>
                </c:pt>
                <c:pt idx="14">
                  <c:v>467.87327623663106</c:v>
                </c:pt>
              </c:numCache>
            </c:numRef>
          </c:val>
          <c:smooth val="0"/>
          <c:extLst>
            <c:ext xmlns:c16="http://schemas.microsoft.com/office/drawing/2014/chart" uri="{C3380CC4-5D6E-409C-BE32-E72D297353CC}">
              <c16:uniqueId val="{00000001-EDA0-4511-9B36-F044D1A8B389}"/>
            </c:ext>
          </c:extLst>
        </c:ser>
        <c:dLbls>
          <c:showLegendKey val="0"/>
          <c:showVal val="0"/>
          <c:showCatName val="0"/>
          <c:showSerName val="0"/>
          <c:showPercent val="0"/>
          <c:showBubbleSize val="0"/>
        </c:dLbls>
        <c:marker val="1"/>
        <c:smooth val="0"/>
        <c:axId val="-1811389680"/>
        <c:axId val="-1811387552"/>
      </c:lineChart>
      <c:catAx>
        <c:axId val="-1811389680"/>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86532661678202"/>
              <c:y val="0.93017475379680103"/>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387552"/>
        <c:crosses val="autoZero"/>
        <c:auto val="1"/>
        <c:lblAlgn val="ctr"/>
        <c:lblOffset val="100"/>
        <c:noMultiLvlLbl val="0"/>
      </c:catAx>
      <c:valAx>
        <c:axId val="-181138755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67827391141405E-5"/>
              <c:y val="0.30024384772416302"/>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389680"/>
        <c:crosses val="autoZero"/>
        <c:crossBetween val="between"/>
      </c:valAx>
    </c:plotArea>
    <c:legend>
      <c:legendPos val="r"/>
      <c:layout>
        <c:manualLayout>
          <c:xMode val="edge"/>
          <c:yMode val="edge"/>
          <c:x val="0.13744568885411099"/>
          <c:y val="0.70227875361733605"/>
          <c:w val="0.21994215940398801"/>
          <c:h val="9.63144671018686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Cotton Price Needed to Give Equal Returns Above Variable Costs to Soybean at Budgeted Yields*</a:t>
            </a:r>
          </a:p>
        </c:rich>
      </c:tx>
      <c:layout>
        <c:manualLayout>
          <c:xMode val="edge"/>
          <c:yMode val="edge"/>
          <c:x val="0.127752796486474"/>
          <c:y val="5.8945611930958999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Prices!$Q$6</c:f>
              <c:strCache>
                <c:ptCount val="1"/>
                <c:pt idx="0">
                  <c:v>Irrigated Cotton</c:v>
                </c:pt>
              </c:strCache>
            </c:strRef>
          </c:tx>
          <c:marker>
            <c:symbol val="circle"/>
            <c:size val="7"/>
          </c:marker>
          <c:dLbls>
            <c:spPr>
              <a:solidFill>
                <a:schemeClr val="accent1">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Prices!$T$28:$T$42</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Prices!$Q$7:$Q$21</c:f>
              <c:numCache>
                <c:formatCode>_("$"* #,##0.00_);_("$"* \(#,##0.00\);_("$"* "-"??_);_(@_)</c:formatCode>
                <c:ptCount val="15"/>
                <c:pt idx="0">
                  <c:v>0.59716110511363663</c:v>
                </c:pt>
                <c:pt idx="1">
                  <c:v>0.61466110511363647</c:v>
                </c:pt>
                <c:pt idx="2">
                  <c:v>0.63216110511363643</c:v>
                </c:pt>
                <c:pt idx="3">
                  <c:v>0.64966110511363651</c:v>
                </c:pt>
                <c:pt idx="4">
                  <c:v>0.66716110511363635</c:v>
                </c:pt>
                <c:pt idx="5">
                  <c:v>0.68466110511363643</c:v>
                </c:pt>
                <c:pt idx="6">
                  <c:v>0.70216110511363639</c:v>
                </c:pt>
                <c:pt idx="7">
                  <c:v>0.71966110511363635</c:v>
                </c:pt>
                <c:pt idx="8">
                  <c:v>0.73716110511363642</c:v>
                </c:pt>
                <c:pt idx="9">
                  <c:v>0.75466110511363638</c:v>
                </c:pt>
                <c:pt idx="10">
                  <c:v>0.77216110511363634</c:v>
                </c:pt>
                <c:pt idx="11">
                  <c:v>0.7896611051136363</c:v>
                </c:pt>
                <c:pt idx="12">
                  <c:v>0.80716110511363626</c:v>
                </c:pt>
                <c:pt idx="13">
                  <c:v>0.82466110511363633</c:v>
                </c:pt>
                <c:pt idx="14">
                  <c:v>0.84216110511363629</c:v>
                </c:pt>
              </c:numCache>
            </c:numRef>
          </c:val>
          <c:smooth val="0"/>
          <c:extLst>
            <c:ext xmlns:c16="http://schemas.microsoft.com/office/drawing/2014/chart" uri="{C3380CC4-5D6E-409C-BE32-E72D297353CC}">
              <c16:uniqueId val="{00000000-79F7-492D-9963-9E6B334ECA9D}"/>
            </c:ext>
          </c:extLst>
        </c:ser>
        <c:ser>
          <c:idx val="1"/>
          <c:order val="1"/>
          <c:tx>
            <c:strRef>
              <c:f>Prices!$Q$27</c:f>
              <c:strCache>
                <c:ptCount val="1"/>
                <c:pt idx="0">
                  <c:v>Non Irrigated Cotton</c:v>
                </c:pt>
              </c:strCache>
            </c:strRef>
          </c:tx>
          <c:marker>
            <c:symbol val="square"/>
            <c:size val="6"/>
          </c:marker>
          <c:dLbls>
            <c:spPr>
              <a:solidFill>
                <a:srgbClr val="FF000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Prices!$T$28:$T$42</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Prices!$Q$28:$Q$42</c:f>
              <c:numCache>
                <c:formatCode>_("$"* #,##0.00_);_("$"* \(#,##0.00\);_("$"* "-"??_);_(@_)</c:formatCode>
                <c:ptCount val="15"/>
                <c:pt idx="0">
                  <c:v>0.57026979053030336</c:v>
                </c:pt>
                <c:pt idx="1">
                  <c:v>0.58426979053030326</c:v>
                </c:pt>
                <c:pt idx="2">
                  <c:v>0.59826979053030327</c:v>
                </c:pt>
                <c:pt idx="3">
                  <c:v>0.61226979053030317</c:v>
                </c:pt>
                <c:pt idx="4">
                  <c:v>0.62626979053030318</c:v>
                </c:pt>
                <c:pt idx="5">
                  <c:v>0.6402697905303032</c:v>
                </c:pt>
                <c:pt idx="6">
                  <c:v>0.6542697905303031</c:v>
                </c:pt>
                <c:pt idx="7">
                  <c:v>0.66826979053030311</c:v>
                </c:pt>
                <c:pt idx="8">
                  <c:v>0.68226979053030312</c:v>
                </c:pt>
                <c:pt idx="9">
                  <c:v>0.69626979053030313</c:v>
                </c:pt>
                <c:pt idx="10">
                  <c:v>0.71026979053030304</c:v>
                </c:pt>
                <c:pt idx="11">
                  <c:v>0.72426979053030305</c:v>
                </c:pt>
                <c:pt idx="12">
                  <c:v>0.73826979053030295</c:v>
                </c:pt>
                <c:pt idx="13">
                  <c:v>0.75226979053030296</c:v>
                </c:pt>
                <c:pt idx="14">
                  <c:v>0.76626979053030297</c:v>
                </c:pt>
              </c:numCache>
            </c:numRef>
          </c:val>
          <c:smooth val="0"/>
          <c:extLst>
            <c:ext xmlns:c16="http://schemas.microsoft.com/office/drawing/2014/chart" uri="{C3380CC4-5D6E-409C-BE32-E72D297353CC}">
              <c16:uniqueId val="{00000001-79F7-492D-9963-9E6B334ECA9D}"/>
            </c:ext>
          </c:extLst>
        </c:ser>
        <c:dLbls>
          <c:showLegendKey val="0"/>
          <c:showVal val="0"/>
          <c:showCatName val="0"/>
          <c:showSerName val="0"/>
          <c:showPercent val="0"/>
          <c:showBubbleSize val="0"/>
        </c:dLbls>
        <c:marker val="1"/>
        <c:smooth val="0"/>
        <c:axId val="-1860026080"/>
        <c:axId val="-1860103920"/>
      </c:lineChart>
      <c:catAx>
        <c:axId val="-1860026080"/>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60103920"/>
        <c:crosses val="autoZero"/>
        <c:auto val="1"/>
        <c:lblAlgn val="ctr"/>
        <c:lblOffset val="100"/>
        <c:noMultiLvlLbl val="0"/>
      </c:catAx>
      <c:valAx>
        <c:axId val="-1860103920"/>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387332194448307E-5"/>
              <c:y val="0.300243926462833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60026080"/>
        <c:crosses val="autoZero"/>
        <c:crossBetween val="between"/>
      </c:valAx>
    </c:plotArea>
    <c:legend>
      <c:legendPos val="r"/>
      <c:layout>
        <c:manualLayout>
          <c:xMode val="edge"/>
          <c:yMode val="edge"/>
          <c:x val="0.136456365647561"/>
          <c:y val="0.68816070176658395"/>
          <c:w val="0.225049188053488"/>
          <c:h val="0.102313071793178"/>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Peanut Price Needed to Give Equal Returns Above Variable Costs to Soybean at Budgeted Yields *</a:t>
            </a:r>
          </a:p>
        </c:rich>
      </c:tx>
      <c:layout>
        <c:manualLayout>
          <c:xMode val="edge"/>
          <c:yMode val="edge"/>
          <c:x val="0.12612658492315301"/>
          <c:y val="8.59469985606638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Prices!$R$6</c:f>
              <c:strCache>
                <c:ptCount val="1"/>
                <c:pt idx="0">
                  <c:v>Irrigated Peanut</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Prices!$R$7:$R$21</c:f>
              <c:numCache>
                <c:formatCode>_("$"* #,##0_);_("$"* \(#,##0\);_("$"* "-"??_);_(@_)</c:formatCode>
                <c:ptCount val="15"/>
                <c:pt idx="0">
                  <c:v>342.13976063829801</c:v>
                </c:pt>
                <c:pt idx="1">
                  <c:v>351.0759308510639</c:v>
                </c:pt>
                <c:pt idx="2">
                  <c:v>360.01210106382985</c:v>
                </c:pt>
                <c:pt idx="3">
                  <c:v>368.94827127659585</c:v>
                </c:pt>
                <c:pt idx="4">
                  <c:v>377.88444148936173</c:v>
                </c:pt>
                <c:pt idx="5">
                  <c:v>386.82061170212774</c:v>
                </c:pt>
                <c:pt idx="6">
                  <c:v>395.75678191489368</c:v>
                </c:pt>
                <c:pt idx="7">
                  <c:v>404.69295212765962</c:v>
                </c:pt>
                <c:pt idx="8">
                  <c:v>413.62912234042557</c:v>
                </c:pt>
                <c:pt idx="9">
                  <c:v>422.56529255319151</c:v>
                </c:pt>
                <c:pt idx="10">
                  <c:v>431.50146276595746</c:v>
                </c:pt>
                <c:pt idx="11">
                  <c:v>440.43763297872346</c:v>
                </c:pt>
                <c:pt idx="12">
                  <c:v>449.3738031914894</c:v>
                </c:pt>
                <c:pt idx="13">
                  <c:v>458.3099734042554</c:v>
                </c:pt>
                <c:pt idx="14">
                  <c:v>467.24614361702135</c:v>
                </c:pt>
              </c:numCache>
            </c:numRef>
          </c:val>
          <c:smooth val="0"/>
          <c:extLst>
            <c:ext xmlns:c16="http://schemas.microsoft.com/office/drawing/2014/chart" uri="{C3380CC4-5D6E-409C-BE32-E72D297353CC}">
              <c16:uniqueId val="{00000000-21AF-48DC-BCC0-C7EE33078D3E}"/>
            </c:ext>
          </c:extLst>
        </c:ser>
        <c:ser>
          <c:idx val="1"/>
          <c:order val="1"/>
          <c:tx>
            <c:strRef>
              <c:f>Prices!$R$27</c:f>
              <c:strCache>
                <c:ptCount val="1"/>
                <c:pt idx="0">
                  <c:v>Non Irrigated Peanut</c:v>
                </c:pt>
              </c:strCache>
            </c:strRef>
          </c:tx>
          <c:spPr>
            <a:ln>
              <a:solidFill>
                <a:srgbClr val="FF0000"/>
              </a:solidFill>
            </a:ln>
          </c:spPr>
          <c:marker>
            <c:symbol val="square"/>
            <c:size val="6"/>
          </c:marker>
          <c:dLbls>
            <c:spPr>
              <a:solidFill>
                <a:schemeClr val="accent6">
                  <a:lumMod val="75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Prices!$R$28:$R$42</c:f>
              <c:numCache>
                <c:formatCode>_("$"* #,##0_);_("$"* \(#,##0\);_("$"* "-"??_);_(@_)</c:formatCode>
                <c:ptCount val="15"/>
                <c:pt idx="0">
                  <c:v>344.46288970588245</c:v>
                </c:pt>
                <c:pt idx="1">
                  <c:v>350.63936029411775</c:v>
                </c:pt>
                <c:pt idx="2">
                  <c:v>356.815830882353</c:v>
                </c:pt>
                <c:pt idx="3">
                  <c:v>362.9923014705883</c:v>
                </c:pt>
                <c:pt idx="4">
                  <c:v>369.16877205882355</c:v>
                </c:pt>
                <c:pt idx="5">
                  <c:v>375.34524264705885</c:v>
                </c:pt>
                <c:pt idx="6">
                  <c:v>381.52171323529416</c:v>
                </c:pt>
                <c:pt idx="7">
                  <c:v>387.69818382352946</c:v>
                </c:pt>
                <c:pt idx="8">
                  <c:v>393.87465441176471</c:v>
                </c:pt>
                <c:pt idx="9">
                  <c:v>400.05112500000001</c:v>
                </c:pt>
                <c:pt idx="10">
                  <c:v>406.22759558823526</c:v>
                </c:pt>
                <c:pt idx="11">
                  <c:v>412.40406617647051</c:v>
                </c:pt>
                <c:pt idx="12">
                  <c:v>418.58053676470587</c:v>
                </c:pt>
                <c:pt idx="13">
                  <c:v>424.75700735294112</c:v>
                </c:pt>
                <c:pt idx="14">
                  <c:v>430.93347794117642</c:v>
                </c:pt>
              </c:numCache>
            </c:numRef>
          </c:val>
          <c:smooth val="0"/>
          <c:extLst>
            <c:ext xmlns:c16="http://schemas.microsoft.com/office/drawing/2014/chart" uri="{C3380CC4-5D6E-409C-BE32-E72D297353CC}">
              <c16:uniqueId val="{00000001-21AF-48DC-BCC0-C7EE33078D3E}"/>
            </c:ext>
          </c:extLst>
        </c:ser>
        <c:dLbls>
          <c:showLegendKey val="0"/>
          <c:showVal val="0"/>
          <c:showCatName val="0"/>
          <c:showSerName val="0"/>
          <c:showPercent val="0"/>
          <c:showBubbleSize val="0"/>
        </c:dLbls>
        <c:marker val="1"/>
        <c:smooth val="0"/>
        <c:axId val="-1859909552"/>
        <c:axId val="-1859772944"/>
      </c:lineChart>
      <c:catAx>
        <c:axId val="-185990955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59772944"/>
        <c:crosses val="autoZero"/>
        <c:auto val="1"/>
        <c:lblAlgn val="ctr"/>
        <c:lblOffset val="100"/>
        <c:noMultiLvlLbl val="0"/>
      </c:catAx>
      <c:valAx>
        <c:axId val="-1859772944"/>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41062404512902E-5"/>
              <c:y val="0.30024372759856599"/>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59909552"/>
        <c:crosses val="autoZero"/>
        <c:crossBetween val="between"/>
      </c:valAx>
    </c:plotArea>
    <c:legend>
      <c:legendPos val="r"/>
      <c:layout>
        <c:manualLayout>
          <c:xMode val="edge"/>
          <c:yMode val="edge"/>
          <c:x val="0.134752353716979"/>
          <c:y val="0.69685998927553405"/>
          <c:w val="0.221831524790744"/>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Soybean at Budgeted Yields *</a:t>
            </a:r>
          </a:p>
        </c:rich>
      </c:tx>
      <c:layout>
        <c:manualLayout>
          <c:xMode val="edge"/>
          <c:yMode val="edge"/>
          <c:x val="0.113766909571086"/>
          <c:y val="0"/>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Prices!$S$6</c:f>
              <c:strCache>
                <c:ptCount val="1"/>
                <c:pt idx="0">
                  <c:v>Irrigated Corn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40000"/>
                  <a:lumOff val="6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Prices!$S$7:$S$21</c:f>
              <c:numCache>
                <c:formatCode>_("$"* #,##0.00_);_("$"* \(#,##0.00\);_("$"* "-"??_);_(@_)</c:formatCode>
                <c:ptCount val="15"/>
                <c:pt idx="0">
                  <c:v>4.2039887500000006</c:v>
                </c:pt>
                <c:pt idx="1">
                  <c:v>4.3089887500000001</c:v>
                </c:pt>
                <c:pt idx="2">
                  <c:v>4.4139887500000006</c:v>
                </c:pt>
                <c:pt idx="3">
                  <c:v>4.5189887500000001</c:v>
                </c:pt>
                <c:pt idx="4">
                  <c:v>4.6239887499999996</c:v>
                </c:pt>
                <c:pt idx="5">
                  <c:v>4.7289887500000001</c:v>
                </c:pt>
                <c:pt idx="6">
                  <c:v>4.8339887499999996</c:v>
                </c:pt>
                <c:pt idx="7">
                  <c:v>4.93898875</c:v>
                </c:pt>
                <c:pt idx="8">
                  <c:v>5.0439887499999996</c:v>
                </c:pt>
                <c:pt idx="9">
                  <c:v>5.14898875</c:v>
                </c:pt>
                <c:pt idx="10">
                  <c:v>5.2539887499999987</c:v>
                </c:pt>
                <c:pt idx="11">
                  <c:v>5.3589887499999982</c:v>
                </c:pt>
                <c:pt idx="12">
                  <c:v>5.4639887499999986</c:v>
                </c:pt>
                <c:pt idx="13">
                  <c:v>5.568988749999999</c:v>
                </c:pt>
                <c:pt idx="14">
                  <c:v>5.6739887499999986</c:v>
                </c:pt>
              </c:numCache>
            </c:numRef>
          </c:val>
          <c:smooth val="0"/>
          <c:extLst>
            <c:ext xmlns:c16="http://schemas.microsoft.com/office/drawing/2014/chart" uri="{C3380CC4-5D6E-409C-BE32-E72D297353CC}">
              <c16:uniqueId val="{00000000-2A1C-4BE8-9CF0-A538F620D2B7}"/>
            </c:ext>
          </c:extLst>
        </c:ser>
        <c:ser>
          <c:idx val="1"/>
          <c:order val="1"/>
          <c:tx>
            <c:strRef>
              <c:f>Prices!$S$27</c:f>
              <c:strCache>
                <c:ptCount val="1"/>
                <c:pt idx="0">
                  <c:v>Non Irrigated Corn</c:v>
                </c:pt>
              </c:strCache>
            </c:strRef>
          </c:tx>
          <c:spPr>
            <a:ln>
              <a:solidFill>
                <a:schemeClr val="accent6">
                  <a:lumMod val="75000"/>
                </a:schemeClr>
              </a:solidFill>
            </a:ln>
          </c:spPr>
          <c:marker>
            <c:symbol val="square"/>
            <c:size val="6"/>
            <c:spPr>
              <a:gradFill>
                <a:gsLst>
                  <a:gs pos="0">
                    <a:schemeClr val="accent1">
                      <a:tint val="66000"/>
                      <a:satMod val="160000"/>
                      <a:alpha val="0"/>
                    </a:schemeClr>
                  </a:gs>
                  <a:gs pos="50000">
                    <a:schemeClr val="accent1">
                      <a:tint val="44500"/>
                      <a:satMod val="160000"/>
                    </a:schemeClr>
                  </a:gs>
                  <a:gs pos="100000">
                    <a:schemeClr val="accent1">
                      <a:tint val="23500"/>
                      <a:satMod val="160000"/>
                    </a:schemeClr>
                  </a:gs>
                </a:gsLst>
                <a:lin ang="5400000" scaled="0"/>
              </a:gradFill>
              <a:ln>
                <a:solidFill>
                  <a:schemeClr val="accent6">
                    <a:lumMod val="50000"/>
                  </a:schemeClr>
                </a:solidFill>
              </a:ln>
            </c:spPr>
          </c:marker>
          <c:dLbls>
            <c:spPr>
              <a:solidFill>
                <a:srgbClr val="FFC00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Prices!$S$28:$S$42</c:f>
              <c:numCache>
                <c:formatCode>_("$"* #,##0.00_);_("$"* \(#,##0.00\);_("$"* "-"??_);_(@_)</c:formatCode>
                <c:ptCount val="15"/>
                <c:pt idx="0">
                  <c:v>3.6807302463235305</c:v>
                </c:pt>
                <c:pt idx="1">
                  <c:v>3.804259658088236</c:v>
                </c:pt>
                <c:pt idx="2">
                  <c:v>3.9277890698529419</c:v>
                </c:pt>
                <c:pt idx="3">
                  <c:v>4.0513184816176473</c:v>
                </c:pt>
                <c:pt idx="4">
                  <c:v>4.1748478933823527</c:v>
                </c:pt>
                <c:pt idx="5">
                  <c:v>4.2983773051470591</c:v>
                </c:pt>
                <c:pt idx="6">
                  <c:v>4.4219067169117645</c:v>
                </c:pt>
                <c:pt idx="7">
                  <c:v>4.5454361286764708</c:v>
                </c:pt>
                <c:pt idx="8">
                  <c:v>4.6689655404411763</c:v>
                </c:pt>
                <c:pt idx="9">
                  <c:v>4.7924949522058826</c:v>
                </c:pt>
                <c:pt idx="10">
                  <c:v>4.9160243639705872</c:v>
                </c:pt>
                <c:pt idx="11">
                  <c:v>5.0395537757352935</c:v>
                </c:pt>
                <c:pt idx="12">
                  <c:v>5.1630831874999989</c:v>
                </c:pt>
                <c:pt idx="13">
                  <c:v>5.2866125992647053</c:v>
                </c:pt>
                <c:pt idx="14">
                  <c:v>5.4101420110294107</c:v>
                </c:pt>
              </c:numCache>
            </c:numRef>
          </c:val>
          <c:smooth val="0"/>
          <c:extLst>
            <c:ext xmlns:c16="http://schemas.microsoft.com/office/drawing/2014/chart" uri="{C3380CC4-5D6E-409C-BE32-E72D297353CC}">
              <c16:uniqueId val="{00000001-2A1C-4BE8-9CF0-A538F620D2B7}"/>
            </c:ext>
          </c:extLst>
        </c:ser>
        <c:dLbls>
          <c:showLegendKey val="0"/>
          <c:showVal val="0"/>
          <c:showCatName val="0"/>
          <c:showSerName val="0"/>
          <c:showPercent val="0"/>
          <c:showBubbleSize val="0"/>
        </c:dLbls>
        <c:marker val="1"/>
        <c:smooth val="0"/>
        <c:axId val="-1859751136"/>
        <c:axId val="-1859863280"/>
      </c:lineChart>
      <c:catAx>
        <c:axId val="-1859751136"/>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0.437289512723953"/>
              <c:y val="0.933117051355705"/>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59863280"/>
        <c:crosses val="autoZero"/>
        <c:auto val="1"/>
        <c:lblAlgn val="ctr"/>
        <c:lblOffset val="100"/>
        <c:noMultiLvlLbl val="0"/>
      </c:catAx>
      <c:valAx>
        <c:axId val="-1859863280"/>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76781228501"/>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59751136"/>
        <c:crosses val="autoZero"/>
        <c:crossBetween val="between"/>
      </c:valAx>
    </c:plotArea>
    <c:legend>
      <c:legendPos val="r"/>
      <c:layout>
        <c:manualLayout>
          <c:xMode val="edge"/>
          <c:yMode val="edge"/>
          <c:x val="0.13811890904941199"/>
          <c:y val="0.69937300755860499"/>
          <c:w val="0.199308912472897"/>
          <c:h val="0.10231309069199"/>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Peanut Price Needed to Give Equal Returns Above Variable Costs to Cotton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Prices!$C$6</c:f>
              <c:strCache>
                <c:ptCount val="1"/>
                <c:pt idx="0">
                  <c:v>Irrigated Peanut</c:v>
                </c:pt>
              </c:strCache>
            </c:strRef>
          </c:tx>
          <c:marker>
            <c:symbol val="circle"/>
            <c:size val="7"/>
          </c:marker>
          <c:dLbls>
            <c:spPr>
              <a:solidFill>
                <a:schemeClr val="tx2">
                  <a:lumMod val="60000"/>
                  <a:lumOff val="4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Prices!$C$49:$C$63</c:f>
              <c:numCache>
                <c:formatCode>_("$"* #,##0_);_("$"* \(#,##0\);_("$"* "-"??_);_(@_)</c:formatCode>
                <c:ptCount val="15"/>
                <c:pt idx="0">
                  <c:v>275.48806334622816</c:v>
                </c:pt>
                <c:pt idx="1">
                  <c:v>288.25402079303672</c:v>
                </c:pt>
                <c:pt idx="2">
                  <c:v>301.01997823984522</c:v>
                </c:pt>
                <c:pt idx="3">
                  <c:v>313.78593568665377</c:v>
                </c:pt>
                <c:pt idx="4">
                  <c:v>326.55189313346227</c:v>
                </c:pt>
                <c:pt idx="5">
                  <c:v>339.31785058027083</c:v>
                </c:pt>
                <c:pt idx="6">
                  <c:v>352.08380802707927</c:v>
                </c:pt>
                <c:pt idx="7">
                  <c:v>364.84976547388783</c:v>
                </c:pt>
                <c:pt idx="8">
                  <c:v>377.61572292069633</c:v>
                </c:pt>
                <c:pt idx="9">
                  <c:v>390.38168036750488</c:v>
                </c:pt>
                <c:pt idx="10">
                  <c:v>403.14763781431338</c:v>
                </c:pt>
                <c:pt idx="11">
                  <c:v>415.91359526112188</c:v>
                </c:pt>
                <c:pt idx="12">
                  <c:v>428.67955270793044</c:v>
                </c:pt>
                <c:pt idx="13">
                  <c:v>441.44551015473905</c:v>
                </c:pt>
                <c:pt idx="14">
                  <c:v>454.2114676015475</c:v>
                </c:pt>
              </c:numCache>
            </c:numRef>
          </c:val>
          <c:smooth val="0"/>
          <c:extLst>
            <c:ext xmlns:c16="http://schemas.microsoft.com/office/drawing/2014/chart" uri="{C3380CC4-5D6E-409C-BE32-E72D297353CC}">
              <c16:uniqueId val="{00000000-46ED-4BD1-925F-21AE2F5D3F80}"/>
            </c:ext>
          </c:extLst>
        </c:ser>
        <c:ser>
          <c:idx val="1"/>
          <c:order val="1"/>
          <c:tx>
            <c:strRef>
              <c:f>Prices!$C$27</c:f>
              <c:strCache>
                <c:ptCount val="1"/>
                <c:pt idx="0">
                  <c:v>Non Irrigated Peanut</c:v>
                </c:pt>
              </c:strCache>
            </c:strRef>
          </c:tx>
          <c:marker>
            <c:symbol val="square"/>
            <c:size val="6"/>
          </c:marker>
          <c:dLbls>
            <c:spPr>
              <a:solidFill>
                <a:schemeClr val="accent2">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Prices!$C$70:$C$84</c:f>
              <c:numCache>
                <c:formatCode>_("$"* #,##0_);_("$"* \(#,##0\);_("$"* "-"??_);_(@_)</c:formatCode>
                <c:ptCount val="15"/>
                <c:pt idx="0">
                  <c:v>282.98281300133675</c:v>
                </c:pt>
                <c:pt idx="1">
                  <c:v>294.01222476604266</c:v>
                </c:pt>
                <c:pt idx="2">
                  <c:v>305.04163653074852</c:v>
                </c:pt>
                <c:pt idx="3">
                  <c:v>316.07104829545443</c:v>
                </c:pt>
                <c:pt idx="4">
                  <c:v>327.10046006016034</c:v>
                </c:pt>
                <c:pt idx="5">
                  <c:v>338.1298718248662</c:v>
                </c:pt>
                <c:pt idx="6">
                  <c:v>349.15928358957211</c:v>
                </c:pt>
                <c:pt idx="7">
                  <c:v>360.18869535427808</c:v>
                </c:pt>
                <c:pt idx="8">
                  <c:v>371.21810711898382</c:v>
                </c:pt>
                <c:pt idx="9">
                  <c:v>382.24751888368979</c:v>
                </c:pt>
                <c:pt idx="10">
                  <c:v>393.27693064839571</c:v>
                </c:pt>
                <c:pt idx="11">
                  <c:v>404.30634241310162</c:v>
                </c:pt>
                <c:pt idx="12">
                  <c:v>415.33575417780742</c:v>
                </c:pt>
                <c:pt idx="13">
                  <c:v>426.36516594251333</c:v>
                </c:pt>
                <c:pt idx="14">
                  <c:v>437.39457770721924</c:v>
                </c:pt>
              </c:numCache>
            </c:numRef>
          </c:val>
          <c:smooth val="0"/>
          <c:extLst>
            <c:ext xmlns:c16="http://schemas.microsoft.com/office/drawing/2014/chart" uri="{C3380CC4-5D6E-409C-BE32-E72D297353CC}">
              <c16:uniqueId val="{00000001-46ED-4BD1-925F-21AE2F5D3F80}"/>
            </c:ext>
          </c:extLst>
        </c:ser>
        <c:dLbls>
          <c:showLegendKey val="0"/>
          <c:showVal val="0"/>
          <c:showCatName val="0"/>
          <c:showSerName val="0"/>
          <c:showPercent val="0"/>
          <c:showBubbleSize val="0"/>
        </c:dLbls>
        <c:marker val="1"/>
        <c:smooth val="0"/>
        <c:axId val="-1811282112"/>
        <c:axId val="-1811278352"/>
      </c:lineChart>
      <c:catAx>
        <c:axId val="-181128211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86532661678202"/>
              <c:y val="0.93017475379680103"/>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278352"/>
        <c:crosses val="autoZero"/>
        <c:auto val="1"/>
        <c:lblAlgn val="ctr"/>
        <c:lblOffset val="100"/>
        <c:noMultiLvlLbl val="0"/>
      </c:catAx>
      <c:valAx>
        <c:axId val="-181127835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67827391141405E-5"/>
              <c:y val="0.30024384772416302"/>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282112"/>
        <c:crosses val="autoZero"/>
        <c:crossBetween val="between"/>
      </c:valAx>
    </c:plotArea>
    <c:legend>
      <c:legendPos val="r"/>
      <c:layout>
        <c:manualLayout>
          <c:xMode val="edge"/>
          <c:yMode val="edge"/>
          <c:x val="0.134133059454525"/>
          <c:y val="0.70512775646633896"/>
          <c:w val="0.21994215940398801"/>
          <c:h val="9.63144671018686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Cotton at Budgeted Yields *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Prices!$D$27</c:f>
              <c:strCache>
                <c:ptCount val="1"/>
                <c:pt idx="0">
                  <c:v>Non Irrigated Corn</c:v>
                </c:pt>
              </c:strCache>
            </c:strRef>
          </c:tx>
          <c:spPr>
            <a:ln>
              <a:solidFill>
                <a:srgbClr val="C00000"/>
              </a:solidFill>
            </a:ln>
          </c:spPr>
          <c:marker>
            <c:symbol val="square"/>
            <c:size val="6"/>
            <c:spPr>
              <a:solidFill>
                <a:schemeClr val="accent2"/>
              </a:solidFill>
              <a:ln>
                <a:solidFill>
                  <a:srgbClr val="FF0000"/>
                </a:solidFill>
              </a:ln>
            </c:spPr>
          </c:marker>
          <c:dLbls>
            <c:spPr>
              <a:solidFill>
                <a:schemeClr val="accent6">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Prices!$D$70:$D$84</c:f>
              <c:numCache>
                <c:formatCode>_("$"* #,##0.00_);_("$"* \(#,##0.00\);_("$"* "-"??_);_(@_)</c:formatCode>
                <c:ptCount val="15"/>
                <c:pt idx="0">
                  <c:v>2.7895734181149727</c:v>
                </c:pt>
                <c:pt idx="1">
                  <c:v>3.01016165340909</c:v>
                </c:pt>
                <c:pt idx="2">
                  <c:v>3.2307498887032078</c:v>
                </c:pt>
                <c:pt idx="3">
                  <c:v>3.4513381239973255</c:v>
                </c:pt>
                <c:pt idx="4">
                  <c:v>3.6719263592914437</c:v>
                </c:pt>
                <c:pt idx="5">
                  <c:v>3.8925145945855615</c:v>
                </c:pt>
                <c:pt idx="6">
                  <c:v>4.1131028298796792</c:v>
                </c:pt>
                <c:pt idx="7">
                  <c:v>4.333691065173797</c:v>
                </c:pt>
                <c:pt idx="8">
                  <c:v>4.5542793004679147</c:v>
                </c:pt>
                <c:pt idx="9">
                  <c:v>4.7748675357620334</c:v>
                </c:pt>
                <c:pt idx="10">
                  <c:v>4.9954557710561511</c:v>
                </c:pt>
                <c:pt idx="11">
                  <c:v>5.2160440063502689</c:v>
                </c:pt>
                <c:pt idx="12">
                  <c:v>5.4366322416443866</c:v>
                </c:pt>
                <c:pt idx="13">
                  <c:v>5.6572204769385035</c:v>
                </c:pt>
                <c:pt idx="14">
                  <c:v>5.8778087122326212</c:v>
                </c:pt>
              </c:numCache>
            </c:numRef>
          </c:val>
          <c:smooth val="0"/>
          <c:extLst>
            <c:ext xmlns:c16="http://schemas.microsoft.com/office/drawing/2014/chart" uri="{C3380CC4-5D6E-409C-BE32-E72D297353CC}">
              <c16:uniqueId val="{00000000-AE03-4450-B307-4E9B57436797}"/>
            </c:ext>
          </c:extLst>
        </c:ser>
        <c:ser>
          <c:idx val="0"/>
          <c:order val="1"/>
          <c:tx>
            <c:strRef>
              <c:f>Prices!$D$6</c:f>
              <c:strCache>
                <c:ptCount val="1"/>
                <c:pt idx="0">
                  <c:v>Irrigated Corn</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Prices!$D$49:$D$63</c:f>
              <c:numCache>
                <c:formatCode>_("$"* #,##0.00_);_("$"* \(#,##0.00\);_("$"* "-"??_);_(@_)</c:formatCode>
                <c:ptCount val="15"/>
                <c:pt idx="0">
                  <c:v>3.4856128068181813</c:v>
                </c:pt>
                <c:pt idx="1">
                  <c:v>3.6356128068181812</c:v>
                </c:pt>
                <c:pt idx="2">
                  <c:v>3.7856128068181811</c:v>
                </c:pt>
                <c:pt idx="3">
                  <c:v>3.9356128068181819</c:v>
                </c:pt>
                <c:pt idx="4">
                  <c:v>4.0856128068181814</c:v>
                </c:pt>
                <c:pt idx="5">
                  <c:v>4.2356128068181818</c:v>
                </c:pt>
                <c:pt idx="6">
                  <c:v>4.3856128068181821</c:v>
                </c:pt>
                <c:pt idx="7">
                  <c:v>4.5356128068181816</c:v>
                </c:pt>
                <c:pt idx="8">
                  <c:v>4.6856128068181819</c:v>
                </c:pt>
                <c:pt idx="9">
                  <c:v>4.8356128068181823</c:v>
                </c:pt>
                <c:pt idx="10">
                  <c:v>4.9856128068181826</c:v>
                </c:pt>
                <c:pt idx="11">
                  <c:v>5.135612806818183</c:v>
                </c:pt>
                <c:pt idx="12">
                  <c:v>5.2856128068181825</c:v>
                </c:pt>
                <c:pt idx="13">
                  <c:v>5.4356128068181828</c:v>
                </c:pt>
                <c:pt idx="14">
                  <c:v>5.5856128068181832</c:v>
                </c:pt>
              </c:numCache>
            </c:numRef>
          </c:val>
          <c:smooth val="0"/>
          <c:extLst>
            <c:ext xmlns:c16="http://schemas.microsoft.com/office/drawing/2014/chart" uri="{C3380CC4-5D6E-409C-BE32-E72D297353CC}">
              <c16:uniqueId val="{00000001-AE03-4450-B307-4E9B57436797}"/>
            </c:ext>
          </c:extLst>
        </c:ser>
        <c:dLbls>
          <c:showLegendKey val="0"/>
          <c:showVal val="0"/>
          <c:showCatName val="0"/>
          <c:showSerName val="0"/>
          <c:showPercent val="0"/>
          <c:showBubbleSize val="0"/>
        </c:dLbls>
        <c:marker val="1"/>
        <c:smooth val="0"/>
        <c:axId val="-1811248512"/>
        <c:axId val="-1811244752"/>
      </c:lineChart>
      <c:catAx>
        <c:axId val="-181124851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52271726903697"/>
              <c:y val="0.932920804599639"/>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244752"/>
        <c:crosses val="autoZero"/>
        <c:auto val="1"/>
        <c:lblAlgn val="ctr"/>
        <c:lblOffset val="100"/>
        <c:noMultiLvlLbl val="0"/>
      </c:catAx>
      <c:valAx>
        <c:axId val="-181124475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807853783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248512"/>
        <c:crosses val="autoZero"/>
        <c:crossBetween val="between"/>
      </c:valAx>
    </c:plotArea>
    <c:legend>
      <c:legendPos val="r"/>
      <c:layout>
        <c:manualLayout>
          <c:xMode val="edge"/>
          <c:yMode val="edge"/>
          <c:x val="0.13811890904941199"/>
          <c:y val="0.71092639116042"/>
          <c:w val="0.199308912472897"/>
          <c:h val="8.5449650699444199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Soybean Price Needed to Give Equal Returns Above Variable Costs to Cotton at Budgeted Yields *</a:t>
            </a:r>
          </a:p>
        </c:rich>
      </c:tx>
      <c:layout>
        <c:manualLayout>
          <c:xMode val="edge"/>
          <c:yMode val="edge"/>
          <c:x val="0.12883115697494299"/>
          <c:y val="8.6096012192024406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Prices!$E$27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Prices!$E$70:$E$84</c:f>
              <c:numCache>
                <c:formatCode>_("$"* #,##0.00_);_("$"* \(#,##0.00\);_("$"* "-"??_);_(@_)</c:formatCode>
                <c:ptCount val="15"/>
                <c:pt idx="0">
                  <c:v>4.3693760492424207</c:v>
                </c:pt>
                <c:pt idx="1">
                  <c:v>4.9943760492424207</c:v>
                </c:pt>
                <c:pt idx="2">
                  <c:v>5.6193760492424207</c:v>
                </c:pt>
                <c:pt idx="3">
                  <c:v>6.2443760492424207</c:v>
                </c:pt>
                <c:pt idx="4">
                  <c:v>6.8693760492424225</c:v>
                </c:pt>
                <c:pt idx="5">
                  <c:v>7.4943760492424225</c:v>
                </c:pt>
                <c:pt idx="6">
                  <c:v>8.1193760492424225</c:v>
                </c:pt>
                <c:pt idx="7">
                  <c:v>8.7443760492424243</c:v>
                </c:pt>
                <c:pt idx="8">
                  <c:v>9.3693760492424225</c:v>
                </c:pt>
                <c:pt idx="9">
                  <c:v>9.9943760492424261</c:v>
                </c:pt>
                <c:pt idx="10">
                  <c:v>10.619376049242426</c:v>
                </c:pt>
                <c:pt idx="11">
                  <c:v>11.244376049242426</c:v>
                </c:pt>
                <c:pt idx="12">
                  <c:v>11.869376049242426</c:v>
                </c:pt>
                <c:pt idx="13">
                  <c:v>12.494376049242426</c:v>
                </c:pt>
                <c:pt idx="14">
                  <c:v>13.119376049242426</c:v>
                </c:pt>
              </c:numCache>
            </c:numRef>
          </c:val>
          <c:smooth val="0"/>
          <c:extLst>
            <c:ext xmlns:c16="http://schemas.microsoft.com/office/drawing/2014/chart" uri="{C3380CC4-5D6E-409C-BE32-E72D297353CC}">
              <c16:uniqueId val="{00000000-5E3F-49DD-9ED9-3D31F7CC46F0}"/>
            </c:ext>
          </c:extLst>
        </c:ser>
        <c:ser>
          <c:idx val="0"/>
          <c:order val="1"/>
          <c:tx>
            <c:strRef>
              <c:f>Prices!$E$6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Prices!$E$49:$E$63</c:f>
              <c:numCache>
                <c:formatCode>_("$"* #,##0.00_);_("$"* \(#,##0.00\);_("$"* "-"??_);_(@_)</c:formatCode>
                <c:ptCount val="15"/>
                <c:pt idx="0">
                  <c:v>4.6886407102272676</c:v>
                </c:pt>
                <c:pt idx="1">
                  <c:v>5.1886407102272676</c:v>
                </c:pt>
                <c:pt idx="2">
                  <c:v>5.6886407102272676</c:v>
                </c:pt>
                <c:pt idx="3">
                  <c:v>6.1886407102272702</c:v>
                </c:pt>
                <c:pt idx="4">
                  <c:v>6.6886407102272702</c:v>
                </c:pt>
                <c:pt idx="5">
                  <c:v>7.1886407102272702</c:v>
                </c:pt>
                <c:pt idx="6">
                  <c:v>7.6886407102272702</c:v>
                </c:pt>
                <c:pt idx="7">
                  <c:v>8.1886407102272702</c:v>
                </c:pt>
                <c:pt idx="8">
                  <c:v>8.688640710227272</c:v>
                </c:pt>
                <c:pt idx="9">
                  <c:v>9.188640710227272</c:v>
                </c:pt>
                <c:pt idx="10">
                  <c:v>9.688640710227272</c:v>
                </c:pt>
                <c:pt idx="11">
                  <c:v>10.188640710227272</c:v>
                </c:pt>
                <c:pt idx="12">
                  <c:v>10.688640710227274</c:v>
                </c:pt>
                <c:pt idx="13">
                  <c:v>11.188640710227274</c:v>
                </c:pt>
                <c:pt idx="14">
                  <c:v>11.688640710227274</c:v>
                </c:pt>
              </c:numCache>
            </c:numRef>
          </c:val>
          <c:smooth val="0"/>
          <c:extLst>
            <c:ext xmlns:c16="http://schemas.microsoft.com/office/drawing/2014/chart" uri="{C3380CC4-5D6E-409C-BE32-E72D297353CC}">
              <c16:uniqueId val="{00000001-5E3F-49DD-9ED9-3D31F7CC46F0}"/>
            </c:ext>
          </c:extLst>
        </c:ser>
        <c:dLbls>
          <c:showLegendKey val="0"/>
          <c:showVal val="0"/>
          <c:showCatName val="0"/>
          <c:showSerName val="0"/>
          <c:showPercent val="0"/>
          <c:showBubbleSize val="0"/>
        </c:dLbls>
        <c:marker val="1"/>
        <c:smooth val="0"/>
        <c:axId val="-1810572352"/>
        <c:axId val="-1810568592"/>
      </c:lineChart>
      <c:catAx>
        <c:axId val="-181057235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52271726903697"/>
              <c:y val="0.91945090734625901"/>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568592"/>
        <c:crosses val="autoZero"/>
        <c:auto val="1"/>
        <c:lblAlgn val="ctr"/>
        <c:lblOffset val="100"/>
        <c:noMultiLvlLbl val="0"/>
      </c:catAx>
      <c:valAx>
        <c:axId val="-181056859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727598565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572352"/>
        <c:crosses val="autoZero"/>
        <c:crossBetween val="between"/>
      </c:valAx>
    </c:plotArea>
    <c:legend>
      <c:legendPos val="r"/>
      <c:layout>
        <c:manualLayout>
          <c:xMode val="edge"/>
          <c:yMode val="edge"/>
          <c:x val="0.13802370355879401"/>
          <c:y val="0.69167950780345999"/>
          <c:w val="0.218613977600626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Cotton Price Needed to Give Equal Returns Above Variable Costs to Peanuts at Budgeted Yields *</a:t>
            </a:r>
          </a:p>
        </c:rich>
      </c:tx>
      <c:layout>
        <c:manualLayout>
          <c:xMode val="edge"/>
          <c:yMode val="edge"/>
          <c:x val="0.13070735723252"/>
          <c:y val="8.6096026789754705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Prices!$G$27</c:f>
              <c:strCache>
                <c:ptCount val="1"/>
                <c:pt idx="0">
                  <c:v>Non Irrigated Cotton</c:v>
                </c:pt>
              </c:strCache>
            </c:strRef>
          </c:tx>
          <c:marker>
            <c:symbol val="square"/>
            <c:size val="6"/>
          </c:marker>
          <c:dLbls>
            <c:spPr>
              <a:solidFill>
                <a:schemeClr val="accent2">
                  <a:lumMod val="60000"/>
                  <a:lumOff val="4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Prices!$G$70:$G$84</c:f>
              <c:numCache>
                <c:formatCode>_("$"* #,##0.00_);_("$"* \(#,##0.00\);_("$"* "-"??_);_(@_)</c:formatCode>
                <c:ptCount val="15"/>
                <c:pt idx="0">
                  <c:v>0.60657229053030326</c:v>
                </c:pt>
                <c:pt idx="1">
                  <c:v>0.62923895719696987</c:v>
                </c:pt>
                <c:pt idx="2">
                  <c:v>0.6519056238636366</c:v>
                </c:pt>
                <c:pt idx="3">
                  <c:v>0.67457229053030321</c:v>
                </c:pt>
                <c:pt idx="4">
                  <c:v>0.69723895719696993</c:v>
                </c:pt>
                <c:pt idx="5">
                  <c:v>0.71990562386363655</c:v>
                </c:pt>
                <c:pt idx="6">
                  <c:v>0.74257229053030327</c:v>
                </c:pt>
                <c:pt idx="7">
                  <c:v>0.76523895719696988</c:v>
                </c:pt>
                <c:pt idx="8">
                  <c:v>0.78790562386363661</c:v>
                </c:pt>
                <c:pt idx="9">
                  <c:v>0.81057229053030322</c:v>
                </c:pt>
                <c:pt idx="10">
                  <c:v>0.83323895719696994</c:v>
                </c:pt>
                <c:pt idx="11">
                  <c:v>0.85590562386363656</c:v>
                </c:pt>
                <c:pt idx="12">
                  <c:v>0.87857229053030328</c:v>
                </c:pt>
                <c:pt idx="13">
                  <c:v>0.90123895719696989</c:v>
                </c:pt>
                <c:pt idx="14">
                  <c:v>0.92390562386363662</c:v>
                </c:pt>
              </c:numCache>
            </c:numRef>
          </c:val>
          <c:smooth val="0"/>
          <c:extLst>
            <c:ext xmlns:c16="http://schemas.microsoft.com/office/drawing/2014/chart" uri="{C3380CC4-5D6E-409C-BE32-E72D297353CC}">
              <c16:uniqueId val="{00000000-C17C-416A-B10B-5E6BB12D0D73}"/>
            </c:ext>
          </c:extLst>
        </c:ser>
        <c:ser>
          <c:idx val="0"/>
          <c:order val="1"/>
          <c:tx>
            <c:strRef>
              <c:f>Prices!$G$6</c:f>
              <c:strCache>
                <c:ptCount val="1"/>
                <c:pt idx="0">
                  <c:v>Irrigated Cotton</c:v>
                </c:pt>
              </c:strCache>
            </c:strRef>
          </c:tx>
          <c:marker>
            <c:symbol val="circle"/>
            <c:size val="7"/>
          </c:marker>
          <c:dLbls>
            <c:spPr>
              <a:solidFill>
                <a:schemeClr val="tx2">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Prices!$G$49:$G$63</c:f>
              <c:numCache>
                <c:formatCode>_("$"* #,##0.00_);_("$"* \(#,##0.00\);_("$"* "-"??_);_(@_)</c:formatCode>
                <c:ptCount val="15"/>
                <c:pt idx="0">
                  <c:v>0.60675254261363643</c:v>
                </c:pt>
                <c:pt idx="1">
                  <c:v>0.62633587594696971</c:v>
                </c:pt>
                <c:pt idx="2">
                  <c:v>0.645919209280303</c:v>
                </c:pt>
                <c:pt idx="3">
                  <c:v>0.66550254261363639</c:v>
                </c:pt>
                <c:pt idx="4">
                  <c:v>0.68508587594696968</c:v>
                </c:pt>
                <c:pt idx="5">
                  <c:v>0.70466920928030308</c:v>
                </c:pt>
                <c:pt idx="6">
                  <c:v>0.72425254261363636</c:v>
                </c:pt>
                <c:pt idx="7">
                  <c:v>0.74383587594696976</c:v>
                </c:pt>
                <c:pt idx="8">
                  <c:v>0.76341920928030305</c:v>
                </c:pt>
                <c:pt idx="9">
                  <c:v>0.78300254261363633</c:v>
                </c:pt>
                <c:pt idx="10">
                  <c:v>0.80258587594696973</c:v>
                </c:pt>
                <c:pt idx="11">
                  <c:v>0.82216920928030301</c:v>
                </c:pt>
                <c:pt idx="12">
                  <c:v>0.84175254261363641</c:v>
                </c:pt>
                <c:pt idx="13">
                  <c:v>0.86133587594696981</c:v>
                </c:pt>
                <c:pt idx="14">
                  <c:v>0.88091920928030309</c:v>
                </c:pt>
              </c:numCache>
            </c:numRef>
          </c:val>
          <c:smooth val="0"/>
          <c:extLst>
            <c:ext xmlns:c16="http://schemas.microsoft.com/office/drawing/2014/chart" uri="{C3380CC4-5D6E-409C-BE32-E72D297353CC}">
              <c16:uniqueId val="{00000001-C17C-416A-B10B-5E6BB12D0D73}"/>
            </c:ext>
          </c:extLst>
        </c:ser>
        <c:dLbls>
          <c:showLegendKey val="0"/>
          <c:showVal val="0"/>
          <c:showCatName val="0"/>
          <c:showSerName val="0"/>
          <c:showPercent val="0"/>
          <c:showBubbleSize val="0"/>
        </c:dLbls>
        <c:marker val="1"/>
        <c:smooth val="0"/>
        <c:axId val="-1810538720"/>
        <c:axId val="-1810534960"/>
      </c:lineChart>
      <c:catAx>
        <c:axId val="-1810538720"/>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534960"/>
        <c:crosses val="autoZero"/>
        <c:auto val="1"/>
        <c:lblAlgn val="ctr"/>
        <c:lblOffset val="100"/>
        <c:noMultiLvlLbl val="0"/>
      </c:catAx>
      <c:valAx>
        <c:axId val="-1810534960"/>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467827391141405E-5"/>
              <c:y val="0.30024368721151201"/>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538720"/>
        <c:crosses val="autoZero"/>
        <c:crossBetween val="between"/>
      </c:valAx>
    </c:plotArea>
    <c:legend>
      <c:legendPos val="r"/>
      <c:layout>
        <c:manualLayout>
          <c:xMode val="edge"/>
          <c:yMode val="edge"/>
          <c:x val="0.13641499160431"/>
          <c:y val="0.69854308082179395"/>
          <c:w val="0.210570287409726"/>
          <c:h val="0.10231287899357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Peanuts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Prices!$I$27</c:f>
              <c:strCache>
                <c:ptCount val="1"/>
                <c:pt idx="0">
                  <c:v>Non Irrigated Corn</c:v>
                </c:pt>
              </c:strCache>
            </c:strRef>
          </c:tx>
          <c:spPr>
            <a:ln>
              <a:solidFill>
                <a:srgbClr val="FF0000"/>
              </a:solidFill>
            </a:ln>
          </c:spPr>
          <c:marker>
            <c:symbol val="square"/>
            <c:size val="6"/>
          </c:marker>
          <c:dLbls>
            <c:spPr>
              <a:solidFill>
                <a:schemeClr val="accent6">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Prices!$I$70:$I$84</c:f>
              <c:numCache>
                <c:formatCode>_("$"* #,##0.00_);_("$"* \(#,##0.00\);_("$"* "-"??_);_(@_)</c:formatCode>
                <c:ptCount val="15"/>
                <c:pt idx="0">
                  <c:v>3.7299171580882371</c:v>
                </c:pt>
                <c:pt idx="1">
                  <c:v>3.9299171580882368</c:v>
                </c:pt>
                <c:pt idx="2">
                  <c:v>4.1299171580882374</c:v>
                </c:pt>
                <c:pt idx="3">
                  <c:v>4.3299171580882367</c:v>
                </c:pt>
                <c:pt idx="4">
                  <c:v>4.5299171580882369</c:v>
                </c:pt>
                <c:pt idx="5">
                  <c:v>4.7299171580882371</c:v>
                </c:pt>
                <c:pt idx="6">
                  <c:v>4.9299171580882373</c:v>
                </c:pt>
                <c:pt idx="7">
                  <c:v>5.1299171580882374</c:v>
                </c:pt>
                <c:pt idx="8">
                  <c:v>5.3299171580882367</c:v>
                </c:pt>
                <c:pt idx="9">
                  <c:v>5.5299171580882369</c:v>
                </c:pt>
                <c:pt idx="10">
                  <c:v>5.7299171580882371</c:v>
                </c:pt>
                <c:pt idx="11">
                  <c:v>5.9299171580882373</c:v>
                </c:pt>
                <c:pt idx="12">
                  <c:v>6.1299171580882374</c:v>
                </c:pt>
                <c:pt idx="13">
                  <c:v>6.3299171580882367</c:v>
                </c:pt>
                <c:pt idx="14">
                  <c:v>6.5299171580882369</c:v>
                </c:pt>
              </c:numCache>
            </c:numRef>
          </c:val>
          <c:smooth val="0"/>
          <c:extLst>
            <c:ext xmlns:c16="http://schemas.microsoft.com/office/drawing/2014/chart" uri="{C3380CC4-5D6E-409C-BE32-E72D297353CC}">
              <c16:uniqueId val="{00000000-4E23-4065-B288-8907831B06CA}"/>
            </c:ext>
          </c:extLst>
        </c:ser>
        <c:ser>
          <c:idx val="0"/>
          <c:order val="1"/>
          <c:tx>
            <c:strRef>
              <c:f>Prices!$I$6</c:f>
              <c:strCache>
                <c:ptCount val="1"/>
                <c:pt idx="0">
                  <c:v>Irrigated Corn</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Prices!$I$49:$I$63</c:f>
              <c:numCache>
                <c:formatCode>_("$"* #,##0.00_);_("$"* \(#,##0.00\);_("$"* "-"??_);_(@_)</c:formatCode>
                <c:ptCount val="15"/>
                <c:pt idx="0">
                  <c:v>4.1261280625000003</c:v>
                </c:pt>
                <c:pt idx="1">
                  <c:v>4.2436280625</c:v>
                </c:pt>
                <c:pt idx="2">
                  <c:v>4.3611280624999997</c:v>
                </c:pt>
                <c:pt idx="3">
                  <c:v>4.4786280625000003</c:v>
                </c:pt>
                <c:pt idx="4">
                  <c:v>4.5961280625000001</c:v>
                </c:pt>
                <c:pt idx="5">
                  <c:v>4.7136280624999998</c:v>
                </c:pt>
                <c:pt idx="6">
                  <c:v>4.8311280625000004</c:v>
                </c:pt>
                <c:pt idx="7">
                  <c:v>4.9486280625000001</c:v>
                </c:pt>
                <c:pt idx="8">
                  <c:v>5.0661280624999998</c:v>
                </c:pt>
                <c:pt idx="9">
                  <c:v>5.1836280624999995</c:v>
                </c:pt>
                <c:pt idx="10">
                  <c:v>5.3011280624999992</c:v>
                </c:pt>
                <c:pt idx="11">
                  <c:v>5.4186280624999998</c:v>
                </c:pt>
                <c:pt idx="12">
                  <c:v>5.5361280624999996</c:v>
                </c:pt>
                <c:pt idx="13">
                  <c:v>5.6536280624999993</c:v>
                </c:pt>
                <c:pt idx="14">
                  <c:v>5.7711280624999999</c:v>
                </c:pt>
              </c:numCache>
            </c:numRef>
          </c:val>
          <c:smooth val="0"/>
          <c:extLst>
            <c:ext xmlns:c16="http://schemas.microsoft.com/office/drawing/2014/chart" uri="{C3380CC4-5D6E-409C-BE32-E72D297353CC}">
              <c16:uniqueId val="{00000001-4E23-4065-B288-8907831B06CA}"/>
            </c:ext>
          </c:extLst>
        </c:ser>
        <c:dLbls>
          <c:showLegendKey val="0"/>
          <c:showVal val="0"/>
          <c:showCatName val="0"/>
          <c:showSerName val="0"/>
          <c:showPercent val="0"/>
          <c:showBubbleSize val="0"/>
        </c:dLbls>
        <c:marker val="1"/>
        <c:smooth val="0"/>
        <c:axId val="-1810505088"/>
        <c:axId val="-1810501328"/>
      </c:lineChart>
      <c:catAx>
        <c:axId val="-1810505088"/>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501328"/>
        <c:crosses val="autoZero"/>
        <c:auto val="1"/>
        <c:lblAlgn val="ctr"/>
        <c:lblOffset val="100"/>
        <c:noMultiLvlLbl val="0"/>
      </c:catAx>
      <c:valAx>
        <c:axId val="-1810501328"/>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913476333"/>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505088"/>
        <c:crosses val="autoZero"/>
        <c:crossBetween val="between"/>
      </c:valAx>
    </c:plotArea>
    <c:legend>
      <c:legendPos val="r"/>
      <c:layout>
        <c:manualLayout>
          <c:xMode val="edge"/>
          <c:yMode val="edge"/>
          <c:x val="0.13816638137624099"/>
          <c:y val="0.69125780613630206"/>
          <c:w val="0.197700200518413"/>
          <c:h val="0.10231310525839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Soybean Price Needed to Give Equal Returns Above Variable Costs to Peanuts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Prices!$J$27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Prices!$J$70:$J$84</c:f>
              <c:numCache>
                <c:formatCode>_("$"* #,##0.00_);_("$"* \(#,##0.00\);_("$"* "-"??_);_(@_)</c:formatCode>
                <c:ptCount val="15"/>
                <c:pt idx="0">
                  <c:v>7.0336833125000036</c:v>
                </c:pt>
                <c:pt idx="1">
                  <c:v>7.60034997916667</c:v>
                </c:pt>
                <c:pt idx="2">
                  <c:v>8.1670166458333373</c:v>
                </c:pt>
                <c:pt idx="3">
                  <c:v>8.7336833125000037</c:v>
                </c:pt>
                <c:pt idx="4">
                  <c:v>9.3003499791666702</c:v>
                </c:pt>
                <c:pt idx="5">
                  <c:v>9.8670166458333366</c:v>
                </c:pt>
                <c:pt idx="6">
                  <c:v>10.433683312500003</c:v>
                </c:pt>
                <c:pt idx="7">
                  <c:v>11.000349979166669</c:v>
                </c:pt>
                <c:pt idx="8">
                  <c:v>11.567016645833338</c:v>
                </c:pt>
                <c:pt idx="9">
                  <c:v>12.133683312500004</c:v>
                </c:pt>
                <c:pt idx="10">
                  <c:v>12.700349979166671</c:v>
                </c:pt>
                <c:pt idx="11">
                  <c:v>13.267016645833337</c:v>
                </c:pt>
                <c:pt idx="12">
                  <c:v>13.833683312500003</c:v>
                </c:pt>
                <c:pt idx="13">
                  <c:v>14.40034997916667</c:v>
                </c:pt>
                <c:pt idx="14">
                  <c:v>14.967016645833336</c:v>
                </c:pt>
              </c:numCache>
            </c:numRef>
          </c:val>
          <c:smooth val="0"/>
          <c:extLst>
            <c:ext xmlns:c16="http://schemas.microsoft.com/office/drawing/2014/chart" uri="{C3380CC4-5D6E-409C-BE32-E72D297353CC}">
              <c16:uniqueId val="{00000000-4A26-41BD-A571-9D65880AD818}"/>
            </c:ext>
          </c:extLst>
        </c:ser>
        <c:ser>
          <c:idx val="0"/>
          <c:order val="1"/>
          <c:tx>
            <c:strRef>
              <c:f>Prices!$J$6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Prices!$J$49:$J$63</c:f>
              <c:numCache>
                <c:formatCode>_("$"* #,##0.00_);_("$"* \(#,##0.00\);_("$"* "-"??_);_(@_)</c:formatCode>
                <c:ptCount val="15"/>
                <c:pt idx="0">
                  <c:v>6.8236915624999979</c:v>
                </c:pt>
                <c:pt idx="1">
                  <c:v>7.2153582291666645</c:v>
                </c:pt>
                <c:pt idx="2">
                  <c:v>7.6070248958333311</c:v>
                </c:pt>
                <c:pt idx="3">
                  <c:v>7.9986915624999977</c:v>
                </c:pt>
                <c:pt idx="4">
                  <c:v>8.3903582291666634</c:v>
                </c:pt>
                <c:pt idx="5">
                  <c:v>8.7820248958333309</c:v>
                </c:pt>
                <c:pt idx="6">
                  <c:v>9.1736915624999984</c:v>
                </c:pt>
                <c:pt idx="7">
                  <c:v>9.5653582291666641</c:v>
                </c:pt>
                <c:pt idx="8">
                  <c:v>9.9570248958333316</c:v>
                </c:pt>
                <c:pt idx="9">
                  <c:v>10.348691562499997</c:v>
                </c:pt>
                <c:pt idx="10">
                  <c:v>10.740358229166665</c:v>
                </c:pt>
                <c:pt idx="11">
                  <c:v>11.132024895833331</c:v>
                </c:pt>
                <c:pt idx="12">
                  <c:v>11.523691562499998</c:v>
                </c:pt>
                <c:pt idx="13">
                  <c:v>11.915358229166664</c:v>
                </c:pt>
                <c:pt idx="14">
                  <c:v>12.307024895833331</c:v>
                </c:pt>
              </c:numCache>
            </c:numRef>
          </c:val>
          <c:smooth val="0"/>
          <c:extLst>
            <c:ext xmlns:c16="http://schemas.microsoft.com/office/drawing/2014/chart" uri="{C3380CC4-5D6E-409C-BE32-E72D297353CC}">
              <c16:uniqueId val="{00000001-4A26-41BD-A571-9D65880AD818}"/>
            </c:ext>
          </c:extLst>
        </c:ser>
        <c:dLbls>
          <c:showLegendKey val="0"/>
          <c:showVal val="0"/>
          <c:showCatName val="0"/>
          <c:showSerName val="0"/>
          <c:showPercent val="0"/>
          <c:showBubbleSize val="0"/>
        </c:dLbls>
        <c:marker val="1"/>
        <c:smooth val="0"/>
        <c:axId val="-1810471168"/>
        <c:axId val="-1810467408"/>
      </c:lineChart>
      <c:catAx>
        <c:axId val="-1810471168"/>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467408"/>
        <c:crosses val="autoZero"/>
        <c:auto val="1"/>
        <c:lblAlgn val="ctr"/>
        <c:lblOffset val="100"/>
        <c:noMultiLvlLbl val="0"/>
      </c:catAx>
      <c:valAx>
        <c:axId val="-1810467408"/>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807853783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471168"/>
        <c:crosses val="autoZero"/>
        <c:crossBetween val="between"/>
      </c:valAx>
    </c:plotArea>
    <c:legend>
      <c:legendPos val="r"/>
      <c:layout>
        <c:manualLayout>
          <c:xMode val="edge"/>
          <c:yMode val="edge"/>
          <c:x val="0.13636738885900099"/>
          <c:y val="0.69171851377250204"/>
          <c:w val="0.225049086255522"/>
          <c:h val="0.10231319586122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Cotton Price Needed to Give Equal Returns Above Variable Costs to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Prices!$L$6</c:f>
              <c:strCache>
                <c:ptCount val="1"/>
                <c:pt idx="0">
                  <c:v>Irrigated Cotton</c:v>
                </c:pt>
              </c:strCache>
            </c:strRef>
          </c:tx>
          <c:marker>
            <c:symbol val="circle"/>
            <c:size val="7"/>
          </c:marker>
          <c:dLbls>
            <c:spPr>
              <a:solidFill>
                <a:schemeClr val="tx2">
                  <a:lumMod val="60000"/>
                  <a:lumOff val="4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Prices!$N$28:$N$42</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Prices!$L$49:$L$63</c:f>
              <c:numCache>
                <c:formatCode>_("$"* #,##0.00_);_("$"* \(#,##0.00\);_("$"* "-"??_);_(@_)</c:formatCode>
                <c:ptCount val="15"/>
                <c:pt idx="0">
                  <c:v>0.54406453219696937</c:v>
                </c:pt>
                <c:pt idx="1">
                  <c:v>0.5690645321969694</c:v>
                </c:pt>
                <c:pt idx="2">
                  <c:v>0.59406453219696942</c:v>
                </c:pt>
                <c:pt idx="3">
                  <c:v>0.61906453219696944</c:v>
                </c:pt>
                <c:pt idx="4">
                  <c:v>0.64406453219696946</c:v>
                </c:pt>
                <c:pt idx="5">
                  <c:v>0.66906453219696949</c:v>
                </c:pt>
                <c:pt idx="6">
                  <c:v>0.69406453219696962</c:v>
                </c:pt>
                <c:pt idx="7">
                  <c:v>0.71906453219696975</c:v>
                </c:pt>
                <c:pt idx="8">
                  <c:v>0.74406453219696966</c:v>
                </c:pt>
                <c:pt idx="9">
                  <c:v>0.7690645321969698</c:v>
                </c:pt>
                <c:pt idx="10">
                  <c:v>0.79406453219696993</c:v>
                </c:pt>
                <c:pt idx="11">
                  <c:v>0.81906453219696995</c:v>
                </c:pt>
                <c:pt idx="12">
                  <c:v>0.84406453219696986</c:v>
                </c:pt>
                <c:pt idx="13">
                  <c:v>0.86906453219697011</c:v>
                </c:pt>
                <c:pt idx="14">
                  <c:v>0.89406453219697013</c:v>
                </c:pt>
              </c:numCache>
            </c:numRef>
          </c:val>
          <c:smooth val="0"/>
          <c:extLst>
            <c:ext xmlns:c16="http://schemas.microsoft.com/office/drawing/2014/chart" uri="{C3380CC4-5D6E-409C-BE32-E72D297353CC}">
              <c16:uniqueId val="{00000000-1492-47AE-B8FA-586CF226BD86}"/>
            </c:ext>
          </c:extLst>
        </c:ser>
        <c:ser>
          <c:idx val="1"/>
          <c:order val="1"/>
          <c:tx>
            <c:strRef>
              <c:f>Prices!$L$27</c:f>
              <c:strCache>
                <c:ptCount val="1"/>
                <c:pt idx="0">
                  <c:v>Non Irrigated Cotton</c:v>
                </c:pt>
              </c:strCache>
            </c:strRef>
          </c:tx>
          <c:marker>
            <c:symbol val="square"/>
            <c:size val="6"/>
          </c:marker>
          <c:dLbls>
            <c:spPr>
              <a:solidFill>
                <a:schemeClr val="accent2">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Prices!$N$28:$N$42</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Prices!$L$70:$L$84</c:f>
              <c:numCache>
                <c:formatCode>_("$"* #,##0.00_);_("$"* \(#,##0.00\);_("$"* "-"??_);_(@_)</c:formatCode>
                <c:ptCount val="15"/>
                <c:pt idx="0">
                  <c:v>0.60884834594696946</c:v>
                </c:pt>
                <c:pt idx="1">
                  <c:v>0.62584834594696948</c:v>
                </c:pt>
                <c:pt idx="2">
                  <c:v>0.64284834594696949</c:v>
                </c:pt>
                <c:pt idx="3">
                  <c:v>0.65984834594696951</c:v>
                </c:pt>
                <c:pt idx="4">
                  <c:v>0.67684834594696952</c:v>
                </c:pt>
                <c:pt idx="5">
                  <c:v>0.69384834594696954</c:v>
                </c:pt>
                <c:pt idx="6">
                  <c:v>0.71084834594696955</c:v>
                </c:pt>
                <c:pt idx="7">
                  <c:v>0.72784834594696968</c:v>
                </c:pt>
                <c:pt idx="8">
                  <c:v>0.74484834594696969</c:v>
                </c:pt>
                <c:pt idx="9">
                  <c:v>0.76184834594696982</c:v>
                </c:pt>
                <c:pt idx="10">
                  <c:v>0.77884834594696983</c:v>
                </c:pt>
                <c:pt idx="11">
                  <c:v>0.79584834594696985</c:v>
                </c:pt>
                <c:pt idx="12">
                  <c:v>0.81284834594696986</c:v>
                </c:pt>
                <c:pt idx="13">
                  <c:v>0.82984834594696988</c:v>
                </c:pt>
                <c:pt idx="14">
                  <c:v>0.84684834594696989</c:v>
                </c:pt>
              </c:numCache>
            </c:numRef>
          </c:val>
          <c:smooth val="0"/>
          <c:extLst>
            <c:ext xmlns:c16="http://schemas.microsoft.com/office/drawing/2014/chart" uri="{C3380CC4-5D6E-409C-BE32-E72D297353CC}">
              <c16:uniqueId val="{00000001-1492-47AE-B8FA-586CF226BD86}"/>
            </c:ext>
          </c:extLst>
        </c:ser>
        <c:dLbls>
          <c:showLegendKey val="0"/>
          <c:showVal val="0"/>
          <c:showCatName val="0"/>
          <c:showSerName val="0"/>
          <c:showPercent val="0"/>
          <c:showBubbleSize val="0"/>
        </c:dLbls>
        <c:marker val="1"/>
        <c:smooth val="0"/>
        <c:axId val="-1811215424"/>
        <c:axId val="-1811211664"/>
      </c:lineChart>
      <c:catAx>
        <c:axId val="-1811215424"/>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211664"/>
        <c:crosses val="autoZero"/>
        <c:auto val="1"/>
        <c:lblAlgn val="ctr"/>
        <c:lblOffset val="100"/>
        <c:noMultiLvlLbl val="0"/>
      </c:catAx>
      <c:valAx>
        <c:axId val="-1811211664"/>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467827391141405E-5"/>
              <c:y val="0.300243887424520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215424"/>
        <c:crosses val="autoZero"/>
        <c:crossBetween val="between"/>
      </c:valAx>
    </c:plotArea>
    <c:legend>
      <c:legendPos val="r"/>
      <c:layout>
        <c:manualLayout>
          <c:xMode val="edge"/>
          <c:yMode val="edge"/>
          <c:x val="0.13811890904941199"/>
          <c:y val="0.69742647840661698"/>
          <c:w val="0.239527885101319"/>
          <c:h val="0.10231318100162901"/>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Cotton at Budgeted Yields *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Prices!$D$27</c:f>
              <c:strCache>
                <c:ptCount val="1"/>
                <c:pt idx="0">
                  <c:v>Non Irrigated Corn</c:v>
                </c:pt>
              </c:strCache>
            </c:strRef>
          </c:tx>
          <c:spPr>
            <a:ln>
              <a:solidFill>
                <a:srgbClr val="C00000"/>
              </a:solidFill>
            </a:ln>
          </c:spPr>
          <c:marker>
            <c:symbol val="square"/>
            <c:size val="6"/>
            <c:spPr>
              <a:solidFill>
                <a:schemeClr val="accent2"/>
              </a:solidFill>
              <a:ln>
                <a:solidFill>
                  <a:srgbClr val="FF0000"/>
                </a:solidFill>
              </a:ln>
            </c:spPr>
          </c:marker>
          <c:dLbls>
            <c:spPr>
              <a:solidFill>
                <a:schemeClr val="accent6">
                  <a:lumMod val="75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Prices!$D$28:$D$42</c:f>
              <c:numCache>
                <c:formatCode>_("$"* #,##0.00_);_("$"* \(#,##0.00\);_("$"* "-"??_);_(@_)</c:formatCode>
                <c:ptCount val="15"/>
                <c:pt idx="0">
                  <c:v>3.0607026828208537</c:v>
                </c:pt>
                <c:pt idx="1">
                  <c:v>3.2812909181149714</c:v>
                </c:pt>
                <c:pt idx="2">
                  <c:v>3.5018791534090892</c:v>
                </c:pt>
                <c:pt idx="3">
                  <c:v>3.7224673887032069</c:v>
                </c:pt>
                <c:pt idx="4">
                  <c:v>3.9430556239973251</c:v>
                </c:pt>
                <c:pt idx="5">
                  <c:v>4.1636438592914429</c:v>
                </c:pt>
                <c:pt idx="6">
                  <c:v>4.3842320945855606</c:v>
                </c:pt>
                <c:pt idx="7">
                  <c:v>4.6048203298796784</c:v>
                </c:pt>
                <c:pt idx="8">
                  <c:v>4.8254085651737952</c:v>
                </c:pt>
                <c:pt idx="9">
                  <c:v>5.0459968004679148</c:v>
                </c:pt>
                <c:pt idx="10">
                  <c:v>5.2665850357620325</c:v>
                </c:pt>
                <c:pt idx="11">
                  <c:v>5.4871732710561503</c:v>
                </c:pt>
                <c:pt idx="12">
                  <c:v>5.707761506350268</c:v>
                </c:pt>
                <c:pt idx="13">
                  <c:v>5.9283497416443849</c:v>
                </c:pt>
                <c:pt idx="14">
                  <c:v>6.1489379769385026</c:v>
                </c:pt>
              </c:numCache>
            </c:numRef>
          </c:val>
          <c:smooth val="0"/>
          <c:extLst>
            <c:ext xmlns:c16="http://schemas.microsoft.com/office/drawing/2014/chart" uri="{C3380CC4-5D6E-409C-BE32-E72D297353CC}">
              <c16:uniqueId val="{00000000-3FA3-4C9F-B846-62067A6B4287}"/>
            </c:ext>
          </c:extLst>
        </c:ser>
        <c:ser>
          <c:idx val="0"/>
          <c:order val="1"/>
          <c:tx>
            <c:strRef>
              <c:f>Prices!$D$6</c:f>
              <c:strCache>
                <c:ptCount val="1"/>
                <c:pt idx="0">
                  <c:v>Irrigated Corn</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Prices!$D$7:$D$21</c:f>
              <c:numCache>
                <c:formatCode>_("$"* #,##0.00_);_("$"* \(#,##0.00\);_("$"* "-"??_);_(@_)</c:formatCode>
                <c:ptCount val="15"/>
                <c:pt idx="0">
                  <c:v>3.6210221193181811</c:v>
                </c:pt>
                <c:pt idx="1">
                  <c:v>3.771022119318181</c:v>
                </c:pt>
                <c:pt idx="2">
                  <c:v>3.9210221193181809</c:v>
                </c:pt>
                <c:pt idx="3">
                  <c:v>4.0710221193181813</c:v>
                </c:pt>
                <c:pt idx="4">
                  <c:v>4.2210221193181816</c:v>
                </c:pt>
                <c:pt idx="5">
                  <c:v>4.3710221193181811</c:v>
                </c:pt>
                <c:pt idx="6">
                  <c:v>4.5210221193181814</c:v>
                </c:pt>
                <c:pt idx="7">
                  <c:v>4.6710221193181818</c:v>
                </c:pt>
                <c:pt idx="8">
                  <c:v>4.8210221193181821</c:v>
                </c:pt>
                <c:pt idx="9">
                  <c:v>4.9710221193181816</c:v>
                </c:pt>
                <c:pt idx="10">
                  <c:v>5.1210221193181811</c:v>
                </c:pt>
                <c:pt idx="11">
                  <c:v>5.2710221193181814</c:v>
                </c:pt>
                <c:pt idx="12">
                  <c:v>5.4210221193181827</c:v>
                </c:pt>
                <c:pt idx="13">
                  <c:v>5.571022119318183</c:v>
                </c:pt>
                <c:pt idx="14">
                  <c:v>5.7210221193181825</c:v>
                </c:pt>
              </c:numCache>
            </c:numRef>
          </c:val>
          <c:smooth val="0"/>
          <c:extLst>
            <c:ext xmlns:c16="http://schemas.microsoft.com/office/drawing/2014/chart" uri="{C3380CC4-5D6E-409C-BE32-E72D297353CC}">
              <c16:uniqueId val="{00000001-3FA3-4C9F-B846-62067A6B4287}"/>
            </c:ext>
          </c:extLst>
        </c:ser>
        <c:dLbls>
          <c:showLegendKey val="0"/>
          <c:showVal val="0"/>
          <c:showCatName val="0"/>
          <c:showSerName val="0"/>
          <c:showPercent val="0"/>
          <c:showBubbleSize val="0"/>
        </c:dLbls>
        <c:marker val="1"/>
        <c:smooth val="0"/>
        <c:axId val="-1811355680"/>
        <c:axId val="-1811351920"/>
      </c:lineChart>
      <c:catAx>
        <c:axId val="-1811355680"/>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52271726903697"/>
              <c:y val="0.932920804599639"/>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351920"/>
        <c:crosses val="autoZero"/>
        <c:auto val="1"/>
        <c:lblAlgn val="ctr"/>
        <c:lblOffset val="100"/>
        <c:noMultiLvlLbl val="0"/>
      </c:catAx>
      <c:valAx>
        <c:axId val="-1811351920"/>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807853783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355680"/>
        <c:crosses val="autoZero"/>
        <c:crossBetween val="between"/>
      </c:valAx>
    </c:plotArea>
    <c:legend>
      <c:legendPos val="r"/>
      <c:layout>
        <c:manualLayout>
          <c:xMode val="edge"/>
          <c:yMode val="edge"/>
          <c:x val="0.13811890904941199"/>
          <c:y val="0.71949170165292498"/>
          <c:w val="0.199308912472897"/>
          <c:h val="8.5449650699444199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Peanut Price Needed to Give Equal Returns Above Variable Costs to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Prices!$M$6</c:f>
              <c:strCache>
                <c:ptCount val="1"/>
                <c:pt idx="0">
                  <c:v>Irrigated Peanut</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Prices!$M$49:$M$63</c:f>
              <c:numCache>
                <c:formatCode>_("$"* #,##0_);_("$"* \(#,##0\);_("$"* "-"??_);_(@_)</c:formatCode>
                <c:ptCount val="15"/>
                <c:pt idx="0">
                  <c:v>297.98910106382965</c:v>
                </c:pt>
                <c:pt idx="1">
                  <c:v>310.75505851063815</c:v>
                </c:pt>
                <c:pt idx="2">
                  <c:v>323.52101595744665</c:v>
                </c:pt>
                <c:pt idx="3">
                  <c:v>336.28697340425515</c:v>
                </c:pt>
                <c:pt idx="4">
                  <c:v>349.05293085106371</c:v>
                </c:pt>
                <c:pt idx="5">
                  <c:v>361.81888829787221</c:v>
                </c:pt>
                <c:pt idx="6">
                  <c:v>374.58484574468082</c:v>
                </c:pt>
                <c:pt idx="7">
                  <c:v>387.35080319148932</c:v>
                </c:pt>
                <c:pt idx="8">
                  <c:v>400.11676063829788</c:v>
                </c:pt>
                <c:pt idx="9">
                  <c:v>412.88271808510638</c:v>
                </c:pt>
                <c:pt idx="10">
                  <c:v>425.64867553191499</c:v>
                </c:pt>
                <c:pt idx="11">
                  <c:v>438.41463297872349</c:v>
                </c:pt>
                <c:pt idx="12">
                  <c:v>451.18059042553193</c:v>
                </c:pt>
                <c:pt idx="13">
                  <c:v>463.94654787234066</c:v>
                </c:pt>
                <c:pt idx="14">
                  <c:v>476.71250531914916</c:v>
                </c:pt>
              </c:numCache>
            </c:numRef>
          </c:val>
          <c:smooth val="0"/>
          <c:extLst>
            <c:ext xmlns:c16="http://schemas.microsoft.com/office/drawing/2014/chart" uri="{C3380CC4-5D6E-409C-BE32-E72D297353CC}">
              <c16:uniqueId val="{00000000-A663-433D-8B32-9606A59F3515}"/>
            </c:ext>
          </c:extLst>
        </c:ser>
        <c:ser>
          <c:idx val="1"/>
          <c:order val="1"/>
          <c:tx>
            <c:strRef>
              <c:f>Prices!$M$27</c:f>
              <c:strCache>
                <c:ptCount val="1"/>
                <c:pt idx="0">
                  <c:v>Non Irrigated Peanut</c:v>
                </c:pt>
              </c:strCache>
            </c:strRef>
          </c:tx>
          <c:spPr>
            <a:ln>
              <a:solidFill>
                <a:srgbClr val="FF0000"/>
              </a:solidFill>
            </a:ln>
          </c:spPr>
          <c:marker>
            <c:symbol val="square"/>
            <c:size val="6"/>
          </c:marker>
          <c:dLbls>
            <c:spPr>
              <a:solidFill>
                <a:schemeClr val="accent6">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Prices!$M$70:$M$84</c:f>
              <c:numCache>
                <c:formatCode>_("$"* #,##0_);_("$"* \(#,##0\);_("$"* "-"??_);_(@_)</c:formatCode>
                <c:ptCount val="15"/>
                <c:pt idx="0">
                  <c:v>331.00414209558807</c:v>
                </c:pt>
                <c:pt idx="1">
                  <c:v>338.50414209558801</c:v>
                </c:pt>
                <c:pt idx="2">
                  <c:v>346.00414209558801</c:v>
                </c:pt>
                <c:pt idx="3">
                  <c:v>353.50414209558807</c:v>
                </c:pt>
                <c:pt idx="4">
                  <c:v>361.00414209558807</c:v>
                </c:pt>
                <c:pt idx="5">
                  <c:v>368.50414209558812</c:v>
                </c:pt>
                <c:pt idx="6">
                  <c:v>376.00414209558812</c:v>
                </c:pt>
                <c:pt idx="7">
                  <c:v>383.50414209558812</c:v>
                </c:pt>
                <c:pt idx="8">
                  <c:v>391.00414209558812</c:v>
                </c:pt>
                <c:pt idx="9">
                  <c:v>398.50414209558818</c:v>
                </c:pt>
                <c:pt idx="10">
                  <c:v>406.00414209558818</c:v>
                </c:pt>
                <c:pt idx="11">
                  <c:v>413.50414209558824</c:v>
                </c:pt>
                <c:pt idx="12">
                  <c:v>421.00414209558824</c:v>
                </c:pt>
                <c:pt idx="13">
                  <c:v>428.50414209558829</c:v>
                </c:pt>
                <c:pt idx="14">
                  <c:v>436.00414209558829</c:v>
                </c:pt>
              </c:numCache>
            </c:numRef>
          </c:val>
          <c:smooth val="0"/>
          <c:extLst>
            <c:ext xmlns:c16="http://schemas.microsoft.com/office/drawing/2014/chart" uri="{C3380CC4-5D6E-409C-BE32-E72D297353CC}">
              <c16:uniqueId val="{00000001-A663-433D-8B32-9606A59F3515}"/>
            </c:ext>
          </c:extLst>
        </c:ser>
        <c:dLbls>
          <c:showLegendKey val="0"/>
          <c:showVal val="0"/>
          <c:showCatName val="0"/>
          <c:showSerName val="0"/>
          <c:showPercent val="0"/>
          <c:showBubbleSize val="0"/>
        </c:dLbls>
        <c:marker val="1"/>
        <c:smooth val="0"/>
        <c:axId val="-1810436512"/>
        <c:axId val="-1810432752"/>
      </c:lineChart>
      <c:catAx>
        <c:axId val="-181043651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432752"/>
        <c:crosses val="autoZero"/>
        <c:auto val="1"/>
        <c:lblAlgn val="ctr"/>
        <c:lblOffset val="100"/>
        <c:noMultiLvlLbl val="0"/>
      </c:catAx>
      <c:valAx>
        <c:axId val="-181043275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41062404512902E-5"/>
              <c:y val="0.30024372759856599"/>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436512"/>
        <c:crosses val="autoZero"/>
        <c:crossBetween val="between"/>
      </c:valAx>
    </c:plotArea>
    <c:legend>
      <c:legendPos val="r"/>
      <c:layout>
        <c:manualLayout>
          <c:xMode val="edge"/>
          <c:yMode val="edge"/>
          <c:x val="0.13651010041655201"/>
          <c:y val="0.69715643609065003"/>
          <c:w val="0.226657787179588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Soybean Price Needed to Give Equal Returns Above Variable Costs to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Prices!$O$6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Prices!$O$49:$O$63</c:f>
              <c:numCache>
                <c:formatCode>_("$"* #,##0.00_);_("$"* \(#,##0.00\);_("$"* "-"??_);_(@_)</c:formatCode>
                <c:ptCount val="15"/>
                <c:pt idx="0">
                  <c:v>5.5699313541666582</c:v>
                </c:pt>
                <c:pt idx="1">
                  <c:v>6.0699313541666582</c:v>
                </c:pt>
                <c:pt idx="2">
                  <c:v>6.5699313541666582</c:v>
                </c:pt>
                <c:pt idx="3">
                  <c:v>7.0699313541666582</c:v>
                </c:pt>
                <c:pt idx="4">
                  <c:v>7.56993135416666</c:v>
                </c:pt>
                <c:pt idx="5">
                  <c:v>8.0699313541666609</c:v>
                </c:pt>
                <c:pt idx="6">
                  <c:v>8.5699313541666626</c:v>
                </c:pt>
                <c:pt idx="7">
                  <c:v>9.0699313541666644</c:v>
                </c:pt>
                <c:pt idx="8">
                  <c:v>9.5699313541666644</c:v>
                </c:pt>
                <c:pt idx="9">
                  <c:v>10.069931354166666</c:v>
                </c:pt>
                <c:pt idx="10">
                  <c:v>10.569931354166668</c:v>
                </c:pt>
                <c:pt idx="11">
                  <c:v>11.069931354166668</c:v>
                </c:pt>
                <c:pt idx="12">
                  <c:v>11.569931354166668</c:v>
                </c:pt>
                <c:pt idx="13">
                  <c:v>12.069931354166672</c:v>
                </c:pt>
                <c:pt idx="14">
                  <c:v>12.569931354166672</c:v>
                </c:pt>
              </c:numCache>
            </c:numRef>
          </c:val>
          <c:smooth val="0"/>
          <c:extLst>
            <c:ext xmlns:c16="http://schemas.microsoft.com/office/drawing/2014/chart" uri="{C3380CC4-5D6E-409C-BE32-E72D297353CC}">
              <c16:uniqueId val="{00000000-E9B6-4540-A6E8-A3FA0BF1002E}"/>
            </c:ext>
          </c:extLst>
        </c:ser>
        <c:ser>
          <c:idx val="1"/>
          <c:order val="1"/>
          <c:tx>
            <c:strRef>
              <c:f>Prices!$O$27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Prices!$O$70:$O$84</c:f>
              <c:numCache>
                <c:formatCode>_("$"* #,##0.00_);_("$"* \(#,##0.00\);_("$"* "-"??_);_(@_)</c:formatCode>
                <c:ptCount val="15"/>
                <c:pt idx="0">
                  <c:v>7.0905846979166594</c:v>
                </c:pt>
                <c:pt idx="1">
                  <c:v>7.5155846979166601</c:v>
                </c:pt>
                <c:pt idx="2">
                  <c:v>7.9405846979166599</c:v>
                </c:pt>
                <c:pt idx="3">
                  <c:v>8.3655846979166615</c:v>
                </c:pt>
                <c:pt idx="4">
                  <c:v>8.7905846979166622</c:v>
                </c:pt>
                <c:pt idx="5">
                  <c:v>9.2155846979166629</c:v>
                </c:pt>
                <c:pt idx="6">
                  <c:v>9.6405846979166636</c:v>
                </c:pt>
                <c:pt idx="7">
                  <c:v>10.065584697916666</c:v>
                </c:pt>
                <c:pt idx="8">
                  <c:v>10.490584697916665</c:v>
                </c:pt>
                <c:pt idx="9">
                  <c:v>10.915584697916668</c:v>
                </c:pt>
                <c:pt idx="10">
                  <c:v>11.340584697916666</c:v>
                </c:pt>
                <c:pt idx="11">
                  <c:v>11.765584697916669</c:v>
                </c:pt>
                <c:pt idx="12">
                  <c:v>12.19058469791667</c:v>
                </c:pt>
                <c:pt idx="13">
                  <c:v>12.61558469791667</c:v>
                </c:pt>
                <c:pt idx="14">
                  <c:v>13.040584697916671</c:v>
                </c:pt>
              </c:numCache>
            </c:numRef>
          </c:val>
          <c:smooth val="0"/>
          <c:extLst>
            <c:ext xmlns:c16="http://schemas.microsoft.com/office/drawing/2014/chart" uri="{C3380CC4-5D6E-409C-BE32-E72D297353CC}">
              <c16:uniqueId val="{00000001-E9B6-4540-A6E8-A3FA0BF1002E}"/>
            </c:ext>
          </c:extLst>
        </c:ser>
        <c:dLbls>
          <c:showLegendKey val="0"/>
          <c:showVal val="0"/>
          <c:showCatName val="0"/>
          <c:showSerName val="0"/>
          <c:showPercent val="0"/>
          <c:showBubbleSize val="0"/>
        </c:dLbls>
        <c:marker val="1"/>
        <c:smooth val="0"/>
        <c:axId val="-1810403104"/>
        <c:axId val="-1810399344"/>
      </c:lineChart>
      <c:catAx>
        <c:axId val="-1810403104"/>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399344"/>
        <c:crosses val="autoZero"/>
        <c:auto val="1"/>
        <c:lblAlgn val="ctr"/>
        <c:lblOffset val="100"/>
        <c:noMultiLvlLbl val="0"/>
      </c:catAx>
      <c:valAx>
        <c:axId val="-1810399344"/>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727598565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403104"/>
        <c:crosses val="autoZero"/>
        <c:crossBetween val="between"/>
      </c:valAx>
    </c:plotArea>
    <c:legend>
      <c:legendPos val="r"/>
      <c:layout>
        <c:manualLayout>
          <c:xMode val="edge"/>
          <c:yMode val="edge"/>
          <c:x val="0.13811890904941199"/>
          <c:y val="0.69656331668218896"/>
          <c:w val="0.245962863337735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Cotton Price Needed to Give Equal Returns Above Variable Costs to Soybean at Budgeted Yields *</a:t>
            </a:r>
          </a:p>
        </c:rich>
      </c:tx>
      <c:layout>
        <c:manualLayout>
          <c:xMode val="edge"/>
          <c:yMode val="edge"/>
          <c:x val="0.12568617825514899"/>
          <c:y val="8.8416100305342606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Prices!$Q$6</c:f>
              <c:strCache>
                <c:ptCount val="1"/>
                <c:pt idx="0">
                  <c:v>Irrigated Cotton</c:v>
                </c:pt>
              </c:strCache>
            </c:strRef>
          </c:tx>
          <c:marker>
            <c:symbol val="circle"/>
            <c:size val="7"/>
          </c:marker>
          <c:dLbls>
            <c:spPr>
              <a:solidFill>
                <a:schemeClr val="tx2">
                  <a:lumMod val="60000"/>
                  <a:lumOff val="4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Prices!$T$28:$T$42</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Prices!$Q$49:$Q$63</c:f>
              <c:numCache>
                <c:formatCode>_("$"* #,##0.00_);_("$"* \(#,##0.00\);_("$"* "-"??_);_(@_)</c:formatCode>
                <c:ptCount val="15"/>
                <c:pt idx="0">
                  <c:v>0.61806796448863655</c:v>
                </c:pt>
                <c:pt idx="1">
                  <c:v>0.63556796448863662</c:v>
                </c:pt>
                <c:pt idx="2">
                  <c:v>0.65306796448863658</c:v>
                </c:pt>
                <c:pt idx="3">
                  <c:v>0.67056796448863665</c:v>
                </c:pt>
                <c:pt idx="4">
                  <c:v>0.68806796448863661</c:v>
                </c:pt>
                <c:pt idx="5">
                  <c:v>0.70556796448863646</c:v>
                </c:pt>
                <c:pt idx="6">
                  <c:v>0.72306796448863653</c:v>
                </c:pt>
                <c:pt idx="7">
                  <c:v>0.74056796448863649</c:v>
                </c:pt>
                <c:pt idx="8">
                  <c:v>0.75806796448863656</c:v>
                </c:pt>
                <c:pt idx="9">
                  <c:v>0.77556796448863652</c:v>
                </c:pt>
                <c:pt idx="10">
                  <c:v>0.79306796448863637</c:v>
                </c:pt>
                <c:pt idx="11">
                  <c:v>0.81056796448863644</c:v>
                </c:pt>
                <c:pt idx="12">
                  <c:v>0.8280679644886364</c:v>
                </c:pt>
                <c:pt idx="13">
                  <c:v>0.84556796448863636</c:v>
                </c:pt>
                <c:pt idx="14">
                  <c:v>0.86306796448863643</c:v>
                </c:pt>
              </c:numCache>
            </c:numRef>
          </c:val>
          <c:smooth val="0"/>
          <c:extLst>
            <c:ext xmlns:c16="http://schemas.microsoft.com/office/drawing/2014/chart" uri="{C3380CC4-5D6E-409C-BE32-E72D297353CC}">
              <c16:uniqueId val="{00000000-84BF-44E8-B358-C5637DCE503B}"/>
            </c:ext>
          </c:extLst>
        </c:ser>
        <c:ser>
          <c:idx val="1"/>
          <c:order val="1"/>
          <c:tx>
            <c:strRef>
              <c:f>Prices!$Q$27</c:f>
              <c:strCache>
                <c:ptCount val="1"/>
                <c:pt idx="0">
                  <c:v>Non Irrigated Cotton</c:v>
                </c:pt>
              </c:strCache>
            </c:strRef>
          </c:tx>
          <c:marker>
            <c:symbol val="square"/>
            <c:size val="6"/>
          </c:marker>
          <c:dLbls>
            <c:spPr>
              <a:solidFill>
                <a:schemeClr val="accent2">
                  <a:lumMod val="60000"/>
                  <a:lumOff val="4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Prices!$T$28:$T$42</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Prices!$Q$70:$Q$84</c:f>
              <c:numCache>
                <c:formatCode>_("$"* #,##0.00_);_("$"* \(#,##0.00\);_("$"* "-"??_);_(@_)</c:formatCode>
                <c:ptCount val="15"/>
                <c:pt idx="0">
                  <c:v>0.6072249580303033</c:v>
                </c:pt>
                <c:pt idx="1">
                  <c:v>0.6212249580303032</c:v>
                </c:pt>
                <c:pt idx="2">
                  <c:v>0.63522495803030321</c:v>
                </c:pt>
                <c:pt idx="3">
                  <c:v>0.64922495803030311</c:v>
                </c:pt>
                <c:pt idx="4">
                  <c:v>0.66322495803030312</c:v>
                </c:pt>
                <c:pt idx="5">
                  <c:v>0.67722495803030314</c:v>
                </c:pt>
                <c:pt idx="6">
                  <c:v>0.69122495803030304</c:v>
                </c:pt>
                <c:pt idx="7">
                  <c:v>0.70522495803030305</c:v>
                </c:pt>
                <c:pt idx="8">
                  <c:v>0.71922495803030306</c:v>
                </c:pt>
                <c:pt idx="9">
                  <c:v>0.73322495803030308</c:v>
                </c:pt>
                <c:pt idx="10">
                  <c:v>0.74722495803030298</c:v>
                </c:pt>
                <c:pt idx="11">
                  <c:v>0.76122495803030299</c:v>
                </c:pt>
                <c:pt idx="12">
                  <c:v>0.77522495803030289</c:v>
                </c:pt>
                <c:pt idx="13">
                  <c:v>0.7892249580303029</c:v>
                </c:pt>
                <c:pt idx="14">
                  <c:v>0.80322495803030292</c:v>
                </c:pt>
              </c:numCache>
            </c:numRef>
          </c:val>
          <c:smooth val="0"/>
          <c:extLst>
            <c:ext xmlns:c16="http://schemas.microsoft.com/office/drawing/2014/chart" uri="{C3380CC4-5D6E-409C-BE32-E72D297353CC}">
              <c16:uniqueId val="{00000001-84BF-44E8-B358-C5637DCE503B}"/>
            </c:ext>
          </c:extLst>
        </c:ser>
        <c:dLbls>
          <c:showLegendKey val="0"/>
          <c:showVal val="0"/>
          <c:showCatName val="0"/>
          <c:showSerName val="0"/>
          <c:showPercent val="0"/>
          <c:showBubbleSize val="0"/>
        </c:dLbls>
        <c:marker val="1"/>
        <c:smooth val="0"/>
        <c:axId val="-1981193984"/>
        <c:axId val="-1981512624"/>
      </c:lineChart>
      <c:catAx>
        <c:axId val="-1981193984"/>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981512624"/>
        <c:crosses val="autoZero"/>
        <c:auto val="1"/>
        <c:lblAlgn val="ctr"/>
        <c:lblOffset val="100"/>
        <c:noMultiLvlLbl val="0"/>
      </c:catAx>
      <c:valAx>
        <c:axId val="-1981512624"/>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387332194448307E-5"/>
              <c:y val="0.300243926462833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981193984"/>
        <c:crosses val="autoZero"/>
        <c:crossBetween val="between"/>
      </c:valAx>
    </c:plotArea>
    <c:legend>
      <c:legendPos val="r"/>
      <c:layout>
        <c:manualLayout>
          <c:xMode val="edge"/>
          <c:yMode val="edge"/>
          <c:x val="0.13811887603825099"/>
          <c:y val="0.69699072384163896"/>
          <c:w val="0.225049188053488"/>
          <c:h val="0.102313071793178"/>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Peanut Price Needed to Give Equal Returns Above Variable Costs to Soybean at Budgeted Yields *</a:t>
            </a:r>
          </a:p>
        </c:rich>
      </c:tx>
      <c:layout>
        <c:manualLayout>
          <c:xMode val="edge"/>
          <c:yMode val="edge"/>
          <c:x val="0.12778326216685601"/>
          <c:y val="8.59469985606638E-3"/>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Prices!$R$6</c:f>
              <c:strCache>
                <c:ptCount val="1"/>
                <c:pt idx="0">
                  <c:v>Irrigated Peanut</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Prices!$R$49:$R$63</c:f>
              <c:numCache>
                <c:formatCode>_("$"* #,##0_);_("$"* \(#,##0\);_("$"* "-"??_);_(@_)</c:formatCode>
                <c:ptCount val="15"/>
                <c:pt idx="0">
                  <c:v>335.77808776595759</c:v>
                </c:pt>
                <c:pt idx="1">
                  <c:v>344.71425797872354</c:v>
                </c:pt>
                <c:pt idx="2">
                  <c:v>353.65042819148942</c:v>
                </c:pt>
                <c:pt idx="3">
                  <c:v>362.58659840425543</c:v>
                </c:pt>
                <c:pt idx="4">
                  <c:v>371.52276861702131</c:v>
                </c:pt>
                <c:pt idx="5">
                  <c:v>380.45893882978731</c:v>
                </c:pt>
                <c:pt idx="6">
                  <c:v>389.39510904255326</c:v>
                </c:pt>
                <c:pt idx="7">
                  <c:v>398.3312792553192</c:v>
                </c:pt>
                <c:pt idx="8">
                  <c:v>407.2674494680852</c:v>
                </c:pt>
                <c:pt idx="9">
                  <c:v>416.20361968085115</c:v>
                </c:pt>
                <c:pt idx="10">
                  <c:v>425.13978989361703</c:v>
                </c:pt>
                <c:pt idx="11">
                  <c:v>434.07596010638298</c:v>
                </c:pt>
                <c:pt idx="12">
                  <c:v>443.01213031914887</c:v>
                </c:pt>
                <c:pt idx="13">
                  <c:v>451.94830053191487</c:v>
                </c:pt>
                <c:pt idx="14">
                  <c:v>460.88447074468081</c:v>
                </c:pt>
              </c:numCache>
            </c:numRef>
          </c:val>
          <c:smooth val="0"/>
          <c:extLst>
            <c:ext xmlns:c16="http://schemas.microsoft.com/office/drawing/2014/chart" uri="{C3380CC4-5D6E-409C-BE32-E72D297353CC}">
              <c16:uniqueId val="{00000000-4F88-4934-9C4C-918D25D49BAB}"/>
            </c:ext>
          </c:extLst>
        </c:ser>
        <c:ser>
          <c:idx val="1"/>
          <c:order val="1"/>
          <c:tx>
            <c:strRef>
              <c:f>Prices!$R$27</c:f>
              <c:strCache>
                <c:ptCount val="1"/>
                <c:pt idx="0">
                  <c:v>Non Irrigated Peanut</c:v>
                </c:pt>
              </c:strCache>
            </c:strRef>
          </c:tx>
          <c:spPr>
            <a:ln>
              <a:solidFill>
                <a:srgbClr val="FF0000"/>
              </a:solidFill>
            </a:ln>
          </c:spPr>
          <c:marker>
            <c:symbol val="square"/>
            <c:size val="6"/>
          </c:marker>
          <c:dLbls>
            <c:spPr>
              <a:solidFill>
                <a:schemeClr val="accent6">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Prices!$R$70:$R$84</c:f>
              <c:numCache>
                <c:formatCode>_("$"* #,##0_);_("$"* \(#,##0\);_("$"* "-"??_);_(@_)</c:formatCode>
                <c:ptCount val="15"/>
                <c:pt idx="0">
                  <c:v>330.28794154411764</c:v>
                </c:pt>
                <c:pt idx="1">
                  <c:v>336.46441213235289</c:v>
                </c:pt>
                <c:pt idx="2">
                  <c:v>342.64088272058819</c:v>
                </c:pt>
                <c:pt idx="3">
                  <c:v>348.81735330882344</c:v>
                </c:pt>
                <c:pt idx="4">
                  <c:v>354.99382389705875</c:v>
                </c:pt>
                <c:pt idx="5">
                  <c:v>361.17029448529405</c:v>
                </c:pt>
                <c:pt idx="6">
                  <c:v>367.34676507352935</c:v>
                </c:pt>
                <c:pt idx="7">
                  <c:v>373.52323566176466</c:v>
                </c:pt>
                <c:pt idx="8">
                  <c:v>379.69970624999996</c:v>
                </c:pt>
                <c:pt idx="9">
                  <c:v>385.87617683823521</c:v>
                </c:pt>
                <c:pt idx="10">
                  <c:v>392.05264742647051</c:v>
                </c:pt>
                <c:pt idx="11">
                  <c:v>398.22911801470582</c:v>
                </c:pt>
                <c:pt idx="12">
                  <c:v>404.40558860294112</c:v>
                </c:pt>
                <c:pt idx="13">
                  <c:v>410.58205919117643</c:v>
                </c:pt>
                <c:pt idx="14">
                  <c:v>416.75852977941167</c:v>
                </c:pt>
              </c:numCache>
            </c:numRef>
          </c:val>
          <c:smooth val="0"/>
          <c:extLst>
            <c:ext xmlns:c16="http://schemas.microsoft.com/office/drawing/2014/chart" uri="{C3380CC4-5D6E-409C-BE32-E72D297353CC}">
              <c16:uniqueId val="{00000001-4F88-4934-9C4C-918D25D49BAB}"/>
            </c:ext>
          </c:extLst>
        </c:ser>
        <c:dLbls>
          <c:showLegendKey val="0"/>
          <c:showVal val="0"/>
          <c:showCatName val="0"/>
          <c:showSerName val="0"/>
          <c:showPercent val="0"/>
          <c:showBubbleSize val="0"/>
        </c:dLbls>
        <c:marker val="1"/>
        <c:smooth val="0"/>
        <c:axId val="-1980964272"/>
        <c:axId val="-1980961152"/>
      </c:lineChart>
      <c:catAx>
        <c:axId val="-198096427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980961152"/>
        <c:crosses val="autoZero"/>
        <c:auto val="1"/>
        <c:lblAlgn val="ctr"/>
        <c:lblOffset val="100"/>
        <c:noMultiLvlLbl val="0"/>
      </c:catAx>
      <c:valAx>
        <c:axId val="-198096115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41062404512902E-5"/>
              <c:y val="0.30024372759856599"/>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980964272"/>
        <c:crosses val="autoZero"/>
        <c:crossBetween val="between"/>
      </c:valAx>
    </c:plotArea>
    <c:legend>
      <c:legendPos val="r"/>
      <c:layout>
        <c:manualLayout>
          <c:xMode val="edge"/>
          <c:yMode val="edge"/>
          <c:x val="0.13972747809508901"/>
          <c:y val="0.69972737278807895"/>
          <c:w val="0.221831524790744"/>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Soybean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Prices!$S$6</c:f>
              <c:strCache>
                <c:ptCount val="1"/>
                <c:pt idx="0">
                  <c:v>Irrigated Corn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60000"/>
                  <a:lumOff val="40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Prices!$S$49:$S$63</c:f>
              <c:numCache>
                <c:formatCode>_("$"* #,##0.00_);_("$"* \(#,##0.00\);_("$"* "-"??_);_(@_)</c:formatCode>
                <c:ptCount val="15"/>
                <c:pt idx="0">
                  <c:v>4.1940205937500012</c:v>
                </c:pt>
                <c:pt idx="1">
                  <c:v>4.2990205937500017</c:v>
                </c:pt>
                <c:pt idx="2">
                  <c:v>4.4040205937500012</c:v>
                </c:pt>
                <c:pt idx="3">
                  <c:v>4.5090205937500016</c:v>
                </c:pt>
                <c:pt idx="4">
                  <c:v>4.6140205937500012</c:v>
                </c:pt>
                <c:pt idx="5">
                  <c:v>4.7190205937500007</c:v>
                </c:pt>
                <c:pt idx="6">
                  <c:v>4.8240205937500011</c:v>
                </c:pt>
                <c:pt idx="7">
                  <c:v>4.9290205937500007</c:v>
                </c:pt>
                <c:pt idx="8">
                  <c:v>5.0340205937500011</c:v>
                </c:pt>
                <c:pt idx="9">
                  <c:v>5.1390205937500015</c:v>
                </c:pt>
                <c:pt idx="10">
                  <c:v>5.2440205937500002</c:v>
                </c:pt>
                <c:pt idx="11">
                  <c:v>5.3490205937500006</c:v>
                </c:pt>
                <c:pt idx="12">
                  <c:v>5.4540205937500001</c:v>
                </c:pt>
                <c:pt idx="13">
                  <c:v>5.5590205937500006</c:v>
                </c:pt>
                <c:pt idx="14">
                  <c:v>5.6640205937500001</c:v>
                </c:pt>
              </c:numCache>
            </c:numRef>
          </c:val>
          <c:smooth val="0"/>
          <c:extLst>
            <c:ext xmlns:c16="http://schemas.microsoft.com/office/drawing/2014/chart" uri="{C3380CC4-5D6E-409C-BE32-E72D297353CC}">
              <c16:uniqueId val="{00000000-F393-4227-84CA-D1F9EA15A6E0}"/>
            </c:ext>
          </c:extLst>
        </c:ser>
        <c:ser>
          <c:idx val="1"/>
          <c:order val="1"/>
          <c:tx>
            <c:strRef>
              <c:f>Prices!$S$27</c:f>
              <c:strCache>
                <c:ptCount val="1"/>
                <c:pt idx="0">
                  <c:v>Non Irrigated Corn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Prices!$T$7:$T$21</c:f>
              <c:numCache>
                <c:formatCode>_("$"* #,##0.00_);_("$"* \(#,##0.00\);_("$"* "-"??_);_(@_)</c:formatCode>
                <c:ptCount val="15"/>
                <c:pt idx="0">
                  <c:v>7.0500000000000025</c:v>
                </c:pt>
                <c:pt idx="1">
                  <c:v>7.4000000000000021</c:v>
                </c:pt>
                <c:pt idx="2">
                  <c:v>7.7500000000000018</c:v>
                </c:pt>
                <c:pt idx="3">
                  <c:v>8.1000000000000014</c:v>
                </c:pt>
                <c:pt idx="4">
                  <c:v>8.4500000000000011</c:v>
                </c:pt>
                <c:pt idx="5">
                  <c:v>8.8000000000000007</c:v>
                </c:pt>
                <c:pt idx="6">
                  <c:v>9.15</c:v>
                </c:pt>
                <c:pt idx="7">
                  <c:v>9.5</c:v>
                </c:pt>
                <c:pt idx="8">
                  <c:v>9.85</c:v>
                </c:pt>
                <c:pt idx="9">
                  <c:v>10.199999999999999</c:v>
                </c:pt>
                <c:pt idx="10">
                  <c:v>10.549999999999999</c:v>
                </c:pt>
                <c:pt idx="11">
                  <c:v>10.899999999999999</c:v>
                </c:pt>
                <c:pt idx="12">
                  <c:v>11.249999999999998</c:v>
                </c:pt>
                <c:pt idx="13">
                  <c:v>11.599999999999998</c:v>
                </c:pt>
                <c:pt idx="14">
                  <c:v>11.949999999999998</c:v>
                </c:pt>
              </c:numCache>
            </c:numRef>
          </c:cat>
          <c:val>
            <c:numRef>
              <c:f>Prices!$S$70:$S$84</c:f>
              <c:numCache>
                <c:formatCode>_("$"* #,##0.00_);_("$"* \(#,##0.00\);_("$"* "-"??_);_(@_)</c:formatCode>
                <c:ptCount val="15"/>
                <c:pt idx="0">
                  <c:v>3.7356759889705899</c:v>
                </c:pt>
                <c:pt idx="1">
                  <c:v>3.8592054007352954</c:v>
                </c:pt>
                <c:pt idx="2">
                  <c:v>3.9827348125000013</c:v>
                </c:pt>
                <c:pt idx="3">
                  <c:v>4.1062642242647067</c:v>
                </c:pt>
                <c:pt idx="4">
                  <c:v>4.2297936360294122</c:v>
                </c:pt>
                <c:pt idx="5">
                  <c:v>4.3533230477941185</c:v>
                </c:pt>
                <c:pt idx="6">
                  <c:v>4.4768524595588239</c:v>
                </c:pt>
                <c:pt idx="7">
                  <c:v>4.6003818713235303</c:v>
                </c:pt>
                <c:pt idx="8">
                  <c:v>4.7239112830882357</c:v>
                </c:pt>
                <c:pt idx="9">
                  <c:v>4.847440694852942</c:v>
                </c:pt>
                <c:pt idx="10">
                  <c:v>4.9709701066176466</c:v>
                </c:pt>
                <c:pt idx="11">
                  <c:v>5.0944995183823529</c:v>
                </c:pt>
                <c:pt idx="12">
                  <c:v>5.2180289301470584</c:v>
                </c:pt>
                <c:pt idx="13">
                  <c:v>5.3415583419117647</c:v>
                </c:pt>
                <c:pt idx="14">
                  <c:v>5.4650877536764702</c:v>
                </c:pt>
              </c:numCache>
            </c:numRef>
          </c:val>
          <c:smooth val="0"/>
          <c:extLst>
            <c:ext xmlns:c16="http://schemas.microsoft.com/office/drawing/2014/chart" uri="{C3380CC4-5D6E-409C-BE32-E72D297353CC}">
              <c16:uniqueId val="{00000001-F393-4227-84CA-D1F9EA15A6E0}"/>
            </c:ext>
          </c:extLst>
        </c:ser>
        <c:dLbls>
          <c:showLegendKey val="0"/>
          <c:showVal val="0"/>
          <c:showCatName val="0"/>
          <c:showSerName val="0"/>
          <c:showPercent val="0"/>
          <c:showBubbleSize val="0"/>
        </c:dLbls>
        <c:marker val="1"/>
        <c:smooth val="0"/>
        <c:axId val="-1980931888"/>
        <c:axId val="-1980928768"/>
      </c:lineChart>
      <c:catAx>
        <c:axId val="-1980931888"/>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0.437289512723953"/>
              <c:y val="0.933117051355705"/>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980928768"/>
        <c:crosses val="autoZero"/>
        <c:auto val="1"/>
        <c:lblAlgn val="ctr"/>
        <c:lblOffset val="100"/>
        <c:noMultiLvlLbl val="0"/>
      </c:catAx>
      <c:valAx>
        <c:axId val="-1980928768"/>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76781228501"/>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980931888"/>
        <c:crosses val="autoZero"/>
        <c:crossBetween val="between"/>
      </c:valAx>
    </c:plotArea>
    <c:legend>
      <c:legendPos val="r"/>
      <c:layout>
        <c:manualLayout>
          <c:xMode val="edge"/>
          <c:yMode val="edge"/>
          <c:x val="0.13811890904941199"/>
          <c:y val="0.69937300755860499"/>
          <c:w val="0.199308912472897"/>
          <c:h val="0.10231309069199"/>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CCFFCC"/>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Soybean Price Needed to Give Equal Returns Above Variable Costs to Cotton at Budgeted Yields *</a:t>
            </a:r>
          </a:p>
        </c:rich>
      </c:tx>
      <c:layout>
        <c:manualLayout>
          <c:xMode val="edge"/>
          <c:yMode val="edge"/>
          <c:x val="0.12883115697494299"/>
          <c:y val="1.7219202438404899E-2"/>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Prices!$E$27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Prices!$E$28:$E$42</c:f>
              <c:numCache>
                <c:formatCode>_("$"* #,##0.00_);_("$"* \(#,##0.00\);_("$"* "-"??_);_(@_)</c:formatCode>
                <c:ptCount val="15"/>
                <c:pt idx="0">
                  <c:v>5.2932552367424197</c:v>
                </c:pt>
                <c:pt idx="1">
                  <c:v>5.9182552367424197</c:v>
                </c:pt>
                <c:pt idx="2">
                  <c:v>6.5432552367424197</c:v>
                </c:pt>
                <c:pt idx="3">
                  <c:v>7.1682552367424197</c:v>
                </c:pt>
                <c:pt idx="4">
                  <c:v>7.7932552367424215</c:v>
                </c:pt>
                <c:pt idx="5">
                  <c:v>8.4182552367424215</c:v>
                </c:pt>
                <c:pt idx="6">
                  <c:v>9.0432552367424215</c:v>
                </c:pt>
                <c:pt idx="7">
                  <c:v>9.6682552367424233</c:v>
                </c:pt>
                <c:pt idx="8">
                  <c:v>10.293255236742421</c:v>
                </c:pt>
                <c:pt idx="9">
                  <c:v>10.918255236742425</c:v>
                </c:pt>
                <c:pt idx="10">
                  <c:v>11.543255236742425</c:v>
                </c:pt>
                <c:pt idx="11">
                  <c:v>12.168255236742425</c:v>
                </c:pt>
                <c:pt idx="12">
                  <c:v>12.793255236742425</c:v>
                </c:pt>
                <c:pt idx="13">
                  <c:v>13.418255236742425</c:v>
                </c:pt>
                <c:pt idx="14">
                  <c:v>14.043255236742425</c:v>
                </c:pt>
              </c:numCache>
            </c:numRef>
          </c:val>
          <c:smooth val="0"/>
          <c:extLst>
            <c:ext xmlns:c16="http://schemas.microsoft.com/office/drawing/2014/chart" uri="{C3380CC4-5D6E-409C-BE32-E72D297353CC}">
              <c16:uniqueId val="{00000000-53F5-4EF4-A754-D182C7269843}"/>
            </c:ext>
          </c:extLst>
        </c:ser>
        <c:ser>
          <c:idx val="0"/>
          <c:order val="1"/>
          <c:tx>
            <c:strRef>
              <c:f>Prices!$E$6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40000"/>
                  <a:lumOff val="6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Prices!$B$28:$B$42</c:f>
              <c:numCache>
                <c:formatCode>_("$"* #,##0.00_);_("$"* \(#,##0.00\);_("$"* "-"??_);_(@_)</c:formatCode>
                <c:ptCount val="15"/>
                <c:pt idx="0">
                  <c:v>0.49999999999999989</c:v>
                </c:pt>
                <c:pt idx="1">
                  <c:v>0.52499999999999991</c:v>
                </c:pt>
                <c:pt idx="2">
                  <c:v>0.54999999999999993</c:v>
                </c:pt>
                <c:pt idx="3">
                  <c:v>0.57499999999999996</c:v>
                </c:pt>
                <c:pt idx="4">
                  <c:v>0.6</c:v>
                </c:pt>
                <c:pt idx="5">
                  <c:v>0.625</c:v>
                </c:pt>
                <c:pt idx="6">
                  <c:v>0.65</c:v>
                </c:pt>
                <c:pt idx="7">
                  <c:v>0.67500000000000004</c:v>
                </c:pt>
                <c:pt idx="8">
                  <c:v>0.70000000000000007</c:v>
                </c:pt>
                <c:pt idx="9">
                  <c:v>0.72500000000000009</c:v>
                </c:pt>
                <c:pt idx="10">
                  <c:v>0.75000000000000011</c:v>
                </c:pt>
                <c:pt idx="11">
                  <c:v>0.77500000000000013</c:v>
                </c:pt>
                <c:pt idx="12">
                  <c:v>0.80000000000000016</c:v>
                </c:pt>
                <c:pt idx="13">
                  <c:v>0.82500000000000018</c:v>
                </c:pt>
                <c:pt idx="14">
                  <c:v>0.8500000000000002</c:v>
                </c:pt>
              </c:numCache>
            </c:numRef>
          </c:cat>
          <c:val>
            <c:numRef>
              <c:f>Prices!$E$7:$E$21</c:f>
              <c:numCache>
                <c:formatCode>_("$"* #,##0.00_);_("$"* \(#,##0.00\);_("$"* "-"??_);_(@_)</c:formatCode>
                <c:ptCount val="15"/>
                <c:pt idx="0">
                  <c:v>5.1067778977272704</c:v>
                </c:pt>
                <c:pt idx="1">
                  <c:v>5.6067778977272704</c:v>
                </c:pt>
                <c:pt idx="2">
                  <c:v>6.1067778977272704</c:v>
                </c:pt>
                <c:pt idx="3">
                  <c:v>6.6067778977272722</c:v>
                </c:pt>
                <c:pt idx="4">
                  <c:v>7.1067778977272722</c:v>
                </c:pt>
                <c:pt idx="5">
                  <c:v>7.6067778977272722</c:v>
                </c:pt>
                <c:pt idx="6">
                  <c:v>8.1067778977272731</c:v>
                </c:pt>
                <c:pt idx="7">
                  <c:v>8.6067778977272731</c:v>
                </c:pt>
                <c:pt idx="8">
                  <c:v>9.1067778977272749</c:v>
                </c:pt>
                <c:pt idx="9">
                  <c:v>9.6067778977272749</c:v>
                </c:pt>
                <c:pt idx="10">
                  <c:v>10.106777897727275</c:v>
                </c:pt>
                <c:pt idx="11">
                  <c:v>10.606777897727275</c:v>
                </c:pt>
                <c:pt idx="12">
                  <c:v>11.106777897727277</c:v>
                </c:pt>
                <c:pt idx="13">
                  <c:v>11.606777897727277</c:v>
                </c:pt>
                <c:pt idx="14">
                  <c:v>12.106777897727277</c:v>
                </c:pt>
              </c:numCache>
            </c:numRef>
          </c:val>
          <c:smooth val="0"/>
          <c:extLst>
            <c:ext xmlns:c16="http://schemas.microsoft.com/office/drawing/2014/chart" uri="{C3380CC4-5D6E-409C-BE32-E72D297353CC}">
              <c16:uniqueId val="{00000001-53F5-4EF4-A754-D182C7269843}"/>
            </c:ext>
          </c:extLst>
        </c:ser>
        <c:dLbls>
          <c:showLegendKey val="0"/>
          <c:showVal val="0"/>
          <c:showCatName val="0"/>
          <c:showSerName val="0"/>
          <c:showPercent val="0"/>
          <c:showBubbleSize val="0"/>
        </c:dLbls>
        <c:marker val="1"/>
        <c:smooth val="0"/>
        <c:axId val="-1811322672"/>
        <c:axId val="-1811318912"/>
      </c:lineChart>
      <c:catAx>
        <c:axId val="-181132267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0.44852271726903697"/>
              <c:y val="0.91945090734625901"/>
            </c:manualLayout>
          </c:layout>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1318912"/>
        <c:crosses val="autoZero"/>
        <c:auto val="1"/>
        <c:lblAlgn val="ctr"/>
        <c:lblOffset val="100"/>
        <c:noMultiLvlLbl val="0"/>
      </c:catAx>
      <c:valAx>
        <c:axId val="-181131891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727598565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1322672"/>
        <c:crosses val="autoZero"/>
        <c:crossBetween val="between"/>
      </c:valAx>
    </c:plotArea>
    <c:legend>
      <c:legendPos val="r"/>
      <c:layout>
        <c:manualLayout>
          <c:xMode val="edge"/>
          <c:yMode val="edge"/>
          <c:x val="0.13139844475962201"/>
          <c:y val="0.68307735726582597"/>
          <c:w val="0.218613977600626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EF4CE"/>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Cotton Price Needed to Give Equal Returns Above Variable Costs to Peanuts at Budgeted Yields *</a:t>
            </a:r>
          </a:p>
        </c:rich>
      </c:tx>
      <c:layout>
        <c:manualLayout>
          <c:xMode val="edge"/>
          <c:yMode val="edge"/>
          <c:x val="0.13070735723252"/>
          <c:y val="1.7219205357950899E-2"/>
        </c:manualLayout>
      </c:layout>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Prices!$G$27</c:f>
              <c:strCache>
                <c:ptCount val="1"/>
                <c:pt idx="0">
                  <c:v>Non Irrigated Cotton</c:v>
                </c:pt>
              </c:strCache>
            </c:strRef>
          </c:tx>
          <c:marker>
            <c:symbol val="square"/>
            <c:size val="6"/>
          </c:marker>
          <c:dLbls>
            <c:spPr>
              <a:solidFill>
                <a:srgbClr val="FF0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Prices!$G$28:$G$42</c:f>
              <c:numCache>
                <c:formatCode>_("$"* #,##0.00_);_("$"* \(#,##0.00\);_("$"* "-"??_);_(@_)</c:formatCode>
                <c:ptCount val="15"/>
                <c:pt idx="0">
                  <c:v>0.53748724053030306</c:v>
                </c:pt>
                <c:pt idx="1">
                  <c:v>0.56015390719696978</c:v>
                </c:pt>
                <c:pt idx="2">
                  <c:v>0.58282057386363639</c:v>
                </c:pt>
                <c:pt idx="3">
                  <c:v>0.60548724053030312</c:v>
                </c:pt>
                <c:pt idx="4">
                  <c:v>0.62815390719696973</c:v>
                </c:pt>
                <c:pt idx="5">
                  <c:v>0.65082057386363645</c:v>
                </c:pt>
                <c:pt idx="6">
                  <c:v>0.67348724053030307</c:v>
                </c:pt>
                <c:pt idx="7">
                  <c:v>0.69615390719696979</c:v>
                </c:pt>
                <c:pt idx="8">
                  <c:v>0.7188205738636364</c:v>
                </c:pt>
                <c:pt idx="9">
                  <c:v>0.74148724053030313</c:v>
                </c:pt>
                <c:pt idx="10">
                  <c:v>0.76415390719696974</c:v>
                </c:pt>
                <c:pt idx="11">
                  <c:v>0.78682057386363646</c:v>
                </c:pt>
                <c:pt idx="12">
                  <c:v>0.80948724053030308</c:v>
                </c:pt>
                <c:pt idx="13">
                  <c:v>0.8321539071969698</c:v>
                </c:pt>
                <c:pt idx="14">
                  <c:v>0.85482057386363641</c:v>
                </c:pt>
              </c:numCache>
            </c:numRef>
          </c:val>
          <c:smooth val="0"/>
          <c:extLst>
            <c:ext xmlns:c16="http://schemas.microsoft.com/office/drawing/2014/chart" uri="{C3380CC4-5D6E-409C-BE32-E72D297353CC}">
              <c16:uniqueId val="{00000000-A677-4FCD-B78E-A466B0BD4FF4}"/>
            </c:ext>
          </c:extLst>
        </c:ser>
        <c:ser>
          <c:idx val="0"/>
          <c:order val="1"/>
          <c:tx>
            <c:strRef>
              <c:f>Prices!$G$6</c:f>
              <c:strCache>
                <c:ptCount val="1"/>
                <c:pt idx="0">
                  <c:v>Irrigated Cotton</c:v>
                </c:pt>
              </c:strCache>
            </c:strRef>
          </c:tx>
          <c:marker>
            <c:symbol val="circle"/>
            <c:size val="7"/>
          </c:marker>
          <c:dLbls>
            <c:spPr>
              <a:solidFill>
                <a:schemeClr val="accent1">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Prices!$G$7:$G$21</c:f>
              <c:numCache>
                <c:formatCode>_("$"* #,##0.00_);_("$"* \(#,##0.00\);_("$"* "-"??_);_(@_)</c:formatCode>
                <c:ptCount val="15"/>
                <c:pt idx="0">
                  <c:v>0.57338740719696968</c:v>
                </c:pt>
                <c:pt idx="1">
                  <c:v>0.59297074053030296</c:v>
                </c:pt>
                <c:pt idx="2">
                  <c:v>0.61255407386363625</c:v>
                </c:pt>
                <c:pt idx="3">
                  <c:v>0.63213740719696965</c:v>
                </c:pt>
                <c:pt idx="4">
                  <c:v>0.65172074053030293</c:v>
                </c:pt>
                <c:pt idx="5">
                  <c:v>0.67130407386363633</c:v>
                </c:pt>
                <c:pt idx="6">
                  <c:v>0.69088740719696962</c:v>
                </c:pt>
                <c:pt idx="7">
                  <c:v>0.7104707405303029</c:v>
                </c:pt>
                <c:pt idx="8">
                  <c:v>0.7300540738636363</c:v>
                </c:pt>
                <c:pt idx="9">
                  <c:v>0.74963740719696959</c:v>
                </c:pt>
                <c:pt idx="10">
                  <c:v>0.76922074053030298</c:v>
                </c:pt>
                <c:pt idx="11">
                  <c:v>0.78880407386363627</c:v>
                </c:pt>
                <c:pt idx="12">
                  <c:v>0.80838740719696967</c:v>
                </c:pt>
                <c:pt idx="13">
                  <c:v>0.82797074053030295</c:v>
                </c:pt>
                <c:pt idx="14">
                  <c:v>0.84755407386363624</c:v>
                </c:pt>
              </c:numCache>
            </c:numRef>
          </c:val>
          <c:smooth val="0"/>
          <c:extLst>
            <c:ext xmlns:c16="http://schemas.microsoft.com/office/drawing/2014/chart" uri="{C3380CC4-5D6E-409C-BE32-E72D297353CC}">
              <c16:uniqueId val="{00000001-A677-4FCD-B78E-A466B0BD4FF4}"/>
            </c:ext>
          </c:extLst>
        </c:ser>
        <c:dLbls>
          <c:showLegendKey val="0"/>
          <c:showVal val="0"/>
          <c:showCatName val="0"/>
          <c:showSerName val="0"/>
          <c:showPercent val="0"/>
          <c:showBubbleSize val="0"/>
        </c:dLbls>
        <c:marker val="1"/>
        <c:smooth val="0"/>
        <c:axId val="-1810824880"/>
        <c:axId val="-1810817216"/>
      </c:lineChart>
      <c:catAx>
        <c:axId val="-1810824880"/>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817216"/>
        <c:crosses val="autoZero"/>
        <c:auto val="1"/>
        <c:lblAlgn val="ctr"/>
        <c:lblOffset val="100"/>
        <c:noMultiLvlLbl val="0"/>
      </c:catAx>
      <c:valAx>
        <c:axId val="-1810817216"/>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467827391141405E-5"/>
              <c:y val="0.30024368721151201"/>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824880"/>
        <c:crosses val="autoZero"/>
        <c:crossBetween val="between"/>
      </c:valAx>
    </c:plotArea>
    <c:legend>
      <c:legendPos val="r"/>
      <c:layout>
        <c:manualLayout>
          <c:xMode val="edge"/>
          <c:yMode val="edge"/>
          <c:x val="0.131446047504932"/>
          <c:y val="0.69279595438501196"/>
          <c:w val="0.210570287409726"/>
          <c:h val="0.10231287899357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Corn Price Needed to Give Equal Returns Above Variable Costs to Peanuts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Prices!$I$27</c:f>
              <c:strCache>
                <c:ptCount val="1"/>
                <c:pt idx="0">
                  <c:v>Non Irrigated Corn</c:v>
                </c:pt>
              </c:strCache>
            </c:strRef>
          </c:tx>
          <c:spPr>
            <a:ln>
              <a:solidFill>
                <a:srgbClr val="FF0000"/>
              </a:solidFill>
            </a:ln>
          </c:spPr>
          <c:marker>
            <c:symbol val="square"/>
            <c:size val="6"/>
          </c:marker>
          <c:dLbls>
            <c:spPr>
              <a:solidFill>
                <a:schemeClr val="accent6">
                  <a:lumMod val="75000"/>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Prices!$I$28:$I$42</c:f>
              <c:numCache>
                <c:formatCode>_("$"* #,##0.00_);_("$"* \(#,##0.00\);_("$"* "-"??_);_(@_)</c:formatCode>
                <c:ptCount val="15"/>
                <c:pt idx="0">
                  <c:v>3.3914724522058819</c:v>
                </c:pt>
                <c:pt idx="1">
                  <c:v>3.5914724522058816</c:v>
                </c:pt>
                <c:pt idx="2">
                  <c:v>3.7914724522058818</c:v>
                </c:pt>
                <c:pt idx="3">
                  <c:v>3.991472452205882</c:v>
                </c:pt>
                <c:pt idx="4">
                  <c:v>4.1914724522058817</c:v>
                </c:pt>
                <c:pt idx="5">
                  <c:v>4.3914724522058819</c:v>
                </c:pt>
                <c:pt idx="6">
                  <c:v>4.5914724522058821</c:v>
                </c:pt>
                <c:pt idx="7">
                  <c:v>4.7914724522058822</c:v>
                </c:pt>
                <c:pt idx="8">
                  <c:v>4.9914724522058815</c:v>
                </c:pt>
                <c:pt idx="9">
                  <c:v>5.1914724522058817</c:v>
                </c:pt>
                <c:pt idx="10">
                  <c:v>5.3914724522058819</c:v>
                </c:pt>
                <c:pt idx="11">
                  <c:v>5.5914724522058821</c:v>
                </c:pt>
                <c:pt idx="12">
                  <c:v>5.7914724522058822</c:v>
                </c:pt>
                <c:pt idx="13">
                  <c:v>5.9914724522058815</c:v>
                </c:pt>
                <c:pt idx="14">
                  <c:v>6.1914724522058817</c:v>
                </c:pt>
              </c:numCache>
            </c:numRef>
          </c:val>
          <c:smooth val="0"/>
          <c:extLst>
            <c:ext xmlns:c16="http://schemas.microsoft.com/office/drawing/2014/chart" uri="{C3380CC4-5D6E-409C-BE32-E72D297353CC}">
              <c16:uniqueId val="{00000000-77EB-4DB5-83AD-3398B0EC2BEB}"/>
            </c:ext>
          </c:extLst>
        </c:ser>
        <c:ser>
          <c:idx val="0"/>
          <c:order val="1"/>
          <c:tx>
            <c:strRef>
              <c:f>Prices!$I$6</c:f>
              <c:strCache>
                <c:ptCount val="1"/>
                <c:pt idx="0">
                  <c:v>Irrigated Corn</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Prices!$I$7:$I$21</c:f>
              <c:numCache>
                <c:formatCode>_("$"* #,##0.00_);_("$"* \(#,##0.00\);_("$"* "-"??_);_(@_)</c:formatCode>
                <c:ptCount val="15"/>
                <c:pt idx="0">
                  <c:v>4.0613465624999989</c:v>
                </c:pt>
                <c:pt idx="1">
                  <c:v>4.1788465624999995</c:v>
                </c:pt>
                <c:pt idx="2">
                  <c:v>4.2963465624999992</c:v>
                </c:pt>
                <c:pt idx="3">
                  <c:v>4.413846562499999</c:v>
                </c:pt>
                <c:pt idx="4">
                  <c:v>4.5313465624999996</c:v>
                </c:pt>
                <c:pt idx="5">
                  <c:v>4.6488465624999993</c:v>
                </c:pt>
                <c:pt idx="6">
                  <c:v>4.766346562499999</c:v>
                </c:pt>
                <c:pt idx="7">
                  <c:v>4.8838465624999996</c:v>
                </c:pt>
                <c:pt idx="8">
                  <c:v>5.0013465624999993</c:v>
                </c:pt>
                <c:pt idx="9">
                  <c:v>5.118846562499999</c:v>
                </c:pt>
                <c:pt idx="10">
                  <c:v>5.2363465624999996</c:v>
                </c:pt>
                <c:pt idx="11">
                  <c:v>5.3538465624999994</c:v>
                </c:pt>
                <c:pt idx="12">
                  <c:v>5.4713465624999991</c:v>
                </c:pt>
                <c:pt idx="13">
                  <c:v>5.5888465624999988</c:v>
                </c:pt>
                <c:pt idx="14">
                  <c:v>5.7063465624999994</c:v>
                </c:pt>
              </c:numCache>
            </c:numRef>
          </c:val>
          <c:smooth val="0"/>
          <c:extLst>
            <c:ext xmlns:c16="http://schemas.microsoft.com/office/drawing/2014/chart" uri="{C3380CC4-5D6E-409C-BE32-E72D297353CC}">
              <c16:uniqueId val="{00000001-77EB-4DB5-83AD-3398B0EC2BEB}"/>
            </c:ext>
          </c:extLst>
        </c:ser>
        <c:dLbls>
          <c:showLegendKey val="0"/>
          <c:showVal val="0"/>
          <c:showCatName val="0"/>
          <c:showSerName val="0"/>
          <c:showPercent val="0"/>
          <c:showBubbleSize val="0"/>
        </c:dLbls>
        <c:marker val="1"/>
        <c:smooth val="0"/>
        <c:axId val="-1810750192"/>
        <c:axId val="-1810746432"/>
      </c:lineChart>
      <c:catAx>
        <c:axId val="-1810750192"/>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746432"/>
        <c:crosses val="autoZero"/>
        <c:auto val="1"/>
        <c:lblAlgn val="ctr"/>
        <c:lblOffset val="100"/>
        <c:noMultiLvlLbl val="0"/>
      </c:catAx>
      <c:valAx>
        <c:axId val="-1810746432"/>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Corn Price ($/bu)</a:t>
                </a:r>
              </a:p>
            </c:rich>
          </c:tx>
          <c:layout>
            <c:manualLayout>
              <c:xMode val="edge"/>
              <c:yMode val="edge"/>
              <c:x val="8.3467827391141405E-5"/>
              <c:y val="0.300243913476333"/>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750192"/>
        <c:crosses val="autoZero"/>
        <c:crossBetween val="between"/>
      </c:valAx>
    </c:plotArea>
    <c:legend>
      <c:legendPos val="r"/>
      <c:layout>
        <c:manualLayout>
          <c:xMode val="edge"/>
          <c:yMode val="edge"/>
          <c:x val="0.13319743727686201"/>
          <c:y val="0.70275205900986504"/>
          <c:w val="0.197700200518413"/>
          <c:h val="0.10231310525839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sz="1100"/>
              <a:t>Soybean Price Needed to Give Equal Returns Above Variable Costs to Peanuts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1"/>
          <c:order val="0"/>
          <c:tx>
            <c:strRef>
              <c:f>Prices!$J$27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Prices!$J$28:$J$42</c:f>
              <c:numCache>
                <c:formatCode>_("$"* #,##0.00_);_("$"* \(#,##0.00\);_("$"* "-"??_);_(@_)</c:formatCode>
                <c:ptCount val="15"/>
                <c:pt idx="0">
                  <c:v>6.2304362499999986</c:v>
                </c:pt>
                <c:pt idx="1">
                  <c:v>6.797102916666665</c:v>
                </c:pt>
                <c:pt idx="2">
                  <c:v>7.3637695833333323</c:v>
                </c:pt>
                <c:pt idx="3">
                  <c:v>7.9304362499999987</c:v>
                </c:pt>
                <c:pt idx="4">
                  <c:v>8.4971029166666661</c:v>
                </c:pt>
                <c:pt idx="5">
                  <c:v>9.0637695833333325</c:v>
                </c:pt>
                <c:pt idx="6">
                  <c:v>9.6304362499999989</c:v>
                </c:pt>
                <c:pt idx="7">
                  <c:v>10.197102916666665</c:v>
                </c:pt>
                <c:pt idx="8">
                  <c:v>10.763769583333332</c:v>
                </c:pt>
                <c:pt idx="9">
                  <c:v>11.330436249999998</c:v>
                </c:pt>
                <c:pt idx="10">
                  <c:v>11.897102916666665</c:v>
                </c:pt>
                <c:pt idx="11">
                  <c:v>12.463769583333333</c:v>
                </c:pt>
                <c:pt idx="12">
                  <c:v>13.030436249999999</c:v>
                </c:pt>
                <c:pt idx="13">
                  <c:v>13.597102916666666</c:v>
                </c:pt>
                <c:pt idx="14">
                  <c:v>14.163769583333332</c:v>
                </c:pt>
              </c:numCache>
            </c:numRef>
          </c:val>
          <c:smooth val="0"/>
          <c:extLst>
            <c:ext xmlns:c16="http://schemas.microsoft.com/office/drawing/2014/chart" uri="{C3380CC4-5D6E-409C-BE32-E72D297353CC}">
              <c16:uniqueId val="{00000000-1A93-47FD-8826-CE739934B166}"/>
            </c:ext>
          </c:extLst>
        </c:ser>
        <c:ser>
          <c:idx val="0"/>
          <c:order val="1"/>
          <c:tx>
            <c:strRef>
              <c:f>Prices!$J$6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40000"/>
                  <a:lumOff val="6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Prices!$H$28:$H$42</c:f>
              <c:numCache>
                <c:formatCode>_("$"* #,##0_);_("$"* \(#,##0\);_("$"* "-"??_);_(@_)</c:formatCode>
                <c:ptCount val="15"/>
                <c:pt idx="0">
                  <c:v>330</c:v>
                </c:pt>
                <c:pt idx="1">
                  <c:v>340</c:v>
                </c:pt>
                <c:pt idx="2">
                  <c:v>350</c:v>
                </c:pt>
                <c:pt idx="3">
                  <c:v>360</c:v>
                </c:pt>
                <c:pt idx="4">
                  <c:v>370</c:v>
                </c:pt>
                <c:pt idx="5">
                  <c:v>380</c:v>
                </c:pt>
                <c:pt idx="6">
                  <c:v>390</c:v>
                </c:pt>
                <c:pt idx="7">
                  <c:v>400</c:v>
                </c:pt>
                <c:pt idx="8">
                  <c:v>410</c:v>
                </c:pt>
                <c:pt idx="9">
                  <c:v>420</c:v>
                </c:pt>
                <c:pt idx="10">
                  <c:v>430</c:v>
                </c:pt>
                <c:pt idx="11">
                  <c:v>440</c:v>
                </c:pt>
                <c:pt idx="12">
                  <c:v>450</c:v>
                </c:pt>
                <c:pt idx="13">
                  <c:v>460</c:v>
                </c:pt>
                <c:pt idx="14">
                  <c:v>470</c:v>
                </c:pt>
              </c:numCache>
            </c:numRef>
          </c:cat>
          <c:val>
            <c:numRef>
              <c:f>Prices!$J$7:$J$21</c:f>
              <c:numCache>
                <c:formatCode>_("$"* #,##0.00_);_("$"* \(#,##0.00\);_("$"* "-"??_);_(@_)</c:formatCode>
                <c:ptCount val="15"/>
                <c:pt idx="0">
                  <c:v>6.5745260416666644</c:v>
                </c:pt>
                <c:pt idx="1">
                  <c:v>6.9661927083333319</c:v>
                </c:pt>
                <c:pt idx="2">
                  <c:v>7.3578593749999985</c:v>
                </c:pt>
                <c:pt idx="3">
                  <c:v>7.7495260416666651</c:v>
                </c:pt>
                <c:pt idx="4">
                  <c:v>8.1411927083333318</c:v>
                </c:pt>
                <c:pt idx="5">
                  <c:v>8.5328593749999975</c:v>
                </c:pt>
                <c:pt idx="6">
                  <c:v>8.924526041666665</c:v>
                </c:pt>
                <c:pt idx="7">
                  <c:v>9.3161927083333307</c:v>
                </c:pt>
                <c:pt idx="8">
                  <c:v>9.7078593749999982</c:v>
                </c:pt>
                <c:pt idx="9">
                  <c:v>10.099526041666666</c:v>
                </c:pt>
                <c:pt idx="10">
                  <c:v>10.491192708333331</c:v>
                </c:pt>
                <c:pt idx="11">
                  <c:v>10.882859374999999</c:v>
                </c:pt>
                <c:pt idx="12">
                  <c:v>11.274526041666665</c:v>
                </c:pt>
                <c:pt idx="13">
                  <c:v>11.666192708333332</c:v>
                </c:pt>
                <c:pt idx="14">
                  <c:v>12.057859374999998</c:v>
                </c:pt>
              </c:numCache>
            </c:numRef>
          </c:val>
          <c:smooth val="0"/>
          <c:extLst>
            <c:ext xmlns:c16="http://schemas.microsoft.com/office/drawing/2014/chart" uri="{C3380CC4-5D6E-409C-BE32-E72D297353CC}">
              <c16:uniqueId val="{00000001-1A93-47FD-8826-CE739934B166}"/>
            </c:ext>
          </c:extLst>
        </c:ser>
        <c:dLbls>
          <c:showLegendKey val="0"/>
          <c:showVal val="0"/>
          <c:showCatName val="0"/>
          <c:showSerName val="0"/>
          <c:showPercent val="0"/>
          <c:showBubbleSize val="0"/>
        </c:dLbls>
        <c:marker val="1"/>
        <c:smooth val="0"/>
        <c:axId val="-1810715824"/>
        <c:axId val="-1810712064"/>
      </c:lineChart>
      <c:catAx>
        <c:axId val="-1810715824"/>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Peanut Price ($/ton)</a:t>
                </a:r>
              </a:p>
            </c:rich>
          </c:tx>
          <c:overlay val="0"/>
        </c:title>
        <c:numFmt formatCode="_(&quot;$&quot;* #,##0_);_(&quot;$&quot;* \(#,##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712064"/>
        <c:crosses val="autoZero"/>
        <c:auto val="1"/>
        <c:lblAlgn val="ctr"/>
        <c:lblOffset val="100"/>
        <c:noMultiLvlLbl val="0"/>
      </c:catAx>
      <c:valAx>
        <c:axId val="-1810712064"/>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807853783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715824"/>
        <c:crosses val="autoZero"/>
        <c:crossBetween val="between"/>
      </c:valAx>
    </c:plotArea>
    <c:legend>
      <c:legendPos val="r"/>
      <c:layout>
        <c:manualLayout>
          <c:xMode val="edge"/>
          <c:yMode val="edge"/>
          <c:x val="0.13636738885900099"/>
          <c:y val="0.68600830677749902"/>
          <c:w val="0.225049086255522"/>
          <c:h val="0.10231319586122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CC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Cotton Price Needed to Give Equal Returns Above Variable Costs to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Prices!$L$6</c:f>
              <c:strCache>
                <c:ptCount val="1"/>
                <c:pt idx="0">
                  <c:v>Irrigated Cotton</c:v>
                </c:pt>
              </c:strCache>
            </c:strRef>
          </c:tx>
          <c:marker>
            <c:symbol val="circle"/>
            <c:size val="7"/>
          </c:marker>
          <c:dLbls>
            <c:spPr>
              <a:solidFill>
                <a:schemeClr val="accent1">
                  <a:alpha val="5000"/>
                </a:schemeClr>
              </a:solidFill>
            </c:spPr>
            <c:txPr>
              <a:bodyPr/>
              <a:lstStyle/>
              <a:p>
                <a:pP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Prices!$N$28:$N$42</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Prices!$L$7:$L$21</c:f>
              <c:numCache>
                <c:formatCode>_("$"* #,##0.00_);_("$"* \(#,##0.00\);_("$"* "-"??_);_(@_)</c:formatCode>
                <c:ptCount val="15"/>
                <c:pt idx="0">
                  <c:v>0.52149631344696945</c:v>
                </c:pt>
                <c:pt idx="1">
                  <c:v>0.54649631344696947</c:v>
                </c:pt>
                <c:pt idx="2">
                  <c:v>0.57149631344696949</c:v>
                </c:pt>
                <c:pt idx="3">
                  <c:v>0.59649631344696952</c:v>
                </c:pt>
                <c:pt idx="4">
                  <c:v>0.62149631344696954</c:v>
                </c:pt>
                <c:pt idx="5">
                  <c:v>0.64649631344696956</c:v>
                </c:pt>
                <c:pt idx="6">
                  <c:v>0.67149631344696969</c:v>
                </c:pt>
                <c:pt idx="7">
                  <c:v>0.69649631344696972</c:v>
                </c:pt>
                <c:pt idx="8">
                  <c:v>0.72149631344696974</c:v>
                </c:pt>
                <c:pt idx="9">
                  <c:v>0.74649631344696987</c:v>
                </c:pt>
                <c:pt idx="10">
                  <c:v>0.77149631344696989</c:v>
                </c:pt>
                <c:pt idx="11">
                  <c:v>0.79649631344696992</c:v>
                </c:pt>
                <c:pt idx="12">
                  <c:v>0.82149631344696994</c:v>
                </c:pt>
                <c:pt idx="13">
                  <c:v>0.84649631344697018</c:v>
                </c:pt>
                <c:pt idx="14">
                  <c:v>0.87149631344697009</c:v>
                </c:pt>
              </c:numCache>
            </c:numRef>
          </c:val>
          <c:smooth val="0"/>
          <c:extLst>
            <c:ext xmlns:c16="http://schemas.microsoft.com/office/drawing/2014/chart" uri="{C3380CC4-5D6E-409C-BE32-E72D297353CC}">
              <c16:uniqueId val="{00000000-B9D7-4613-BBB7-1534D1A42374}"/>
            </c:ext>
          </c:extLst>
        </c:ser>
        <c:ser>
          <c:idx val="1"/>
          <c:order val="1"/>
          <c:tx>
            <c:strRef>
              <c:f>Prices!$L$27</c:f>
              <c:strCache>
                <c:ptCount val="1"/>
                <c:pt idx="0">
                  <c:v>Non Irrigated Cotton</c:v>
                </c:pt>
              </c:strCache>
            </c:strRef>
          </c:tx>
          <c:marker>
            <c:symbol val="square"/>
            <c:size val="6"/>
          </c:marker>
          <c:dLbls>
            <c:spPr>
              <a:solidFill>
                <a:srgbClr val="FF0000">
                  <a:alpha val="5000"/>
                </a:srgb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Prices!$N$28:$N$42</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Prices!$L$28:$L$42</c:f>
              <c:numCache>
                <c:formatCode>_("$"* #,##0.00_);_("$"* \(#,##0.00\);_("$"* "-"??_);_(@_)</c:formatCode>
                <c:ptCount val="15"/>
                <c:pt idx="0">
                  <c:v>0.57812036261363631</c:v>
                </c:pt>
                <c:pt idx="1">
                  <c:v>0.59512036261363621</c:v>
                </c:pt>
                <c:pt idx="2">
                  <c:v>0.61212036261363623</c:v>
                </c:pt>
                <c:pt idx="3">
                  <c:v>0.62912036261363635</c:v>
                </c:pt>
                <c:pt idx="4">
                  <c:v>0.64612036261363637</c:v>
                </c:pt>
                <c:pt idx="5">
                  <c:v>0.66312036261363638</c:v>
                </c:pt>
                <c:pt idx="6">
                  <c:v>0.6801203626136364</c:v>
                </c:pt>
                <c:pt idx="7">
                  <c:v>0.69712036261363652</c:v>
                </c:pt>
                <c:pt idx="8">
                  <c:v>0.71412036261363654</c:v>
                </c:pt>
                <c:pt idx="9">
                  <c:v>0.73112036261363667</c:v>
                </c:pt>
                <c:pt idx="10">
                  <c:v>0.74812036261363668</c:v>
                </c:pt>
                <c:pt idx="11">
                  <c:v>0.7651203626136367</c:v>
                </c:pt>
                <c:pt idx="12">
                  <c:v>0.7821203626136366</c:v>
                </c:pt>
                <c:pt idx="13">
                  <c:v>0.79912036261363661</c:v>
                </c:pt>
                <c:pt idx="14">
                  <c:v>0.81612036261363663</c:v>
                </c:pt>
              </c:numCache>
            </c:numRef>
          </c:val>
          <c:smooth val="0"/>
          <c:extLst>
            <c:ext xmlns:c16="http://schemas.microsoft.com/office/drawing/2014/chart" uri="{C3380CC4-5D6E-409C-BE32-E72D297353CC}">
              <c16:uniqueId val="{00000001-B9D7-4613-BBB7-1534D1A42374}"/>
            </c:ext>
          </c:extLst>
        </c:ser>
        <c:dLbls>
          <c:showLegendKey val="0"/>
          <c:showVal val="0"/>
          <c:showCatName val="0"/>
          <c:showSerName val="0"/>
          <c:showPercent val="0"/>
          <c:showBubbleSize val="0"/>
        </c:dLbls>
        <c:marker val="1"/>
        <c:smooth val="0"/>
        <c:axId val="-1810683216"/>
        <c:axId val="-1810679456"/>
      </c:lineChart>
      <c:catAx>
        <c:axId val="-1810683216"/>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679456"/>
        <c:crosses val="autoZero"/>
        <c:auto val="1"/>
        <c:lblAlgn val="ctr"/>
        <c:lblOffset val="100"/>
        <c:noMultiLvlLbl val="0"/>
      </c:catAx>
      <c:valAx>
        <c:axId val="-1810679456"/>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Cotton Price ($/lb)</a:t>
                </a:r>
              </a:p>
            </c:rich>
          </c:tx>
          <c:layout>
            <c:manualLayout>
              <c:xMode val="edge"/>
              <c:yMode val="edge"/>
              <c:x val="8.3467827391141405E-5"/>
              <c:y val="0.30024388742452002"/>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683216"/>
        <c:crosses val="autoZero"/>
        <c:crossBetween val="between"/>
      </c:valAx>
    </c:plotArea>
    <c:legend>
      <c:legendPos val="r"/>
      <c:layout>
        <c:manualLayout>
          <c:xMode val="edge"/>
          <c:yMode val="edge"/>
          <c:x val="0.13314996495003301"/>
          <c:y val="0.68036890911024195"/>
          <c:w val="0.239527885101319"/>
          <c:h val="0.10231318100162901"/>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Peanut Price Needed to Give Equal Returns Above Variable Costs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Prices!$M$6</c:f>
              <c:strCache>
                <c:ptCount val="1"/>
                <c:pt idx="0">
                  <c:v>Irrigated Peanut</c:v>
                </c:pt>
              </c:strCache>
            </c:strRef>
          </c:tx>
          <c:spPr>
            <a:ln>
              <a:solidFill>
                <a:srgbClr val="00B050"/>
              </a:solidFill>
            </a:ln>
          </c:spPr>
          <c:marker>
            <c:symbol val="circle"/>
            <c:size val="7"/>
            <c:spPr>
              <a:solidFill>
                <a:srgbClr val="92D050"/>
              </a:solidFill>
              <a:ln>
                <a:solidFill>
                  <a:srgbClr val="00B050"/>
                </a:solidFill>
              </a:ln>
            </c:spPr>
          </c:marker>
          <c:dLbls>
            <c:spPr>
              <a:solidFill>
                <a:srgbClr val="00B050">
                  <a:alpha val="5000"/>
                </a:srgbClr>
              </a:solidFill>
            </c:spPr>
            <c:txPr>
              <a:bodyPr/>
              <a:lstStyle/>
              <a:p>
                <a:pP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Prices!$M$7:$M$21</c:f>
              <c:numCache>
                <c:formatCode>_("$"* #,##0_);_("$"* \(#,##0\);_("$"* "-"??_);_(@_)</c:formatCode>
                <c:ptCount val="15"/>
                <c:pt idx="0">
                  <c:v>303.50242021276586</c:v>
                </c:pt>
                <c:pt idx="1">
                  <c:v>316.26837765957441</c:v>
                </c:pt>
                <c:pt idx="2">
                  <c:v>329.03433510638291</c:v>
                </c:pt>
                <c:pt idx="3">
                  <c:v>341.80029255319141</c:v>
                </c:pt>
                <c:pt idx="4">
                  <c:v>354.56624999999997</c:v>
                </c:pt>
                <c:pt idx="5">
                  <c:v>367.33220744680852</c:v>
                </c:pt>
                <c:pt idx="6">
                  <c:v>380.09816489361702</c:v>
                </c:pt>
                <c:pt idx="7">
                  <c:v>392.86412234042564</c:v>
                </c:pt>
                <c:pt idx="8">
                  <c:v>405.63007978723408</c:v>
                </c:pt>
                <c:pt idx="9">
                  <c:v>418.39603723404269</c:v>
                </c:pt>
                <c:pt idx="10">
                  <c:v>431.16199468085119</c:v>
                </c:pt>
                <c:pt idx="11">
                  <c:v>443.92795212765975</c:v>
                </c:pt>
                <c:pt idx="12">
                  <c:v>456.69390957446825</c:v>
                </c:pt>
                <c:pt idx="13">
                  <c:v>469.45986702127686</c:v>
                </c:pt>
                <c:pt idx="14">
                  <c:v>482.22582446808536</c:v>
                </c:pt>
              </c:numCache>
            </c:numRef>
          </c:val>
          <c:smooth val="0"/>
          <c:extLst>
            <c:ext xmlns:c16="http://schemas.microsoft.com/office/drawing/2014/chart" uri="{C3380CC4-5D6E-409C-BE32-E72D297353CC}">
              <c16:uniqueId val="{00000000-AACB-4362-88F8-C0589A0355D3}"/>
            </c:ext>
          </c:extLst>
        </c:ser>
        <c:ser>
          <c:idx val="1"/>
          <c:order val="1"/>
          <c:tx>
            <c:strRef>
              <c:f>Prices!$M$27</c:f>
              <c:strCache>
                <c:ptCount val="1"/>
                <c:pt idx="0">
                  <c:v>Non Irrigated Peanut</c:v>
                </c:pt>
              </c:strCache>
            </c:strRef>
          </c:tx>
          <c:spPr>
            <a:ln>
              <a:solidFill>
                <a:srgbClr val="FF0000"/>
              </a:solidFill>
            </a:ln>
          </c:spPr>
          <c:marker>
            <c:symbol val="square"/>
            <c:size val="6"/>
          </c:marker>
          <c:dLbls>
            <c:spPr>
              <a:solidFill>
                <a:schemeClr val="accent6">
                  <a:lumMod val="75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Prices!$M$28:$M$42</c:f>
              <c:numCache>
                <c:formatCode>_("$"* #,##0_);_("$"* \(#,##0\);_("$"* "-"??_);_(@_)</c:formatCode>
                <c:ptCount val="15"/>
                <c:pt idx="0">
                  <c:v>347.92637738970581</c:v>
                </c:pt>
                <c:pt idx="1">
                  <c:v>355.42637738970586</c:v>
                </c:pt>
                <c:pt idx="2">
                  <c:v>362.92637738970586</c:v>
                </c:pt>
                <c:pt idx="3">
                  <c:v>370.42637738970586</c:v>
                </c:pt>
                <c:pt idx="4">
                  <c:v>377.92637738970586</c:v>
                </c:pt>
                <c:pt idx="5">
                  <c:v>385.42637738970586</c:v>
                </c:pt>
                <c:pt idx="6">
                  <c:v>392.92637738970581</c:v>
                </c:pt>
                <c:pt idx="7">
                  <c:v>400.42637738970592</c:v>
                </c:pt>
                <c:pt idx="8">
                  <c:v>407.92637738970586</c:v>
                </c:pt>
                <c:pt idx="9">
                  <c:v>415.42637738970598</c:v>
                </c:pt>
                <c:pt idx="10">
                  <c:v>422.92637738970598</c:v>
                </c:pt>
                <c:pt idx="11">
                  <c:v>430.42637738970598</c:v>
                </c:pt>
                <c:pt idx="12">
                  <c:v>437.92637738970598</c:v>
                </c:pt>
                <c:pt idx="13">
                  <c:v>445.42637738970598</c:v>
                </c:pt>
                <c:pt idx="14">
                  <c:v>452.92637738970598</c:v>
                </c:pt>
              </c:numCache>
            </c:numRef>
          </c:val>
          <c:smooth val="0"/>
          <c:extLst>
            <c:ext xmlns:c16="http://schemas.microsoft.com/office/drawing/2014/chart" uri="{C3380CC4-5D6E-409C-BE32-E72D297353CC}">
              <c16:uniqueId val="{00000001-AACB-4362-88F8-C0589A0355D3}"/>
            </c:ext>
          </c:extLst>
        </c:ser>
        <c:dLbls>
          <c:showLegendKey val="0"/>
          <c:showVal val="0"/>
          <c:showCatName val="0"/>
          <c:showSerName val="0"/>
          <c:showPercent val="0"/>
          <c:showBubbleSize val="0"/>
        </c:dLbls>
        <c:marker val="1"/>
        <c:smooth val="0"/>
        <c:axId val="-1810650608"/>
        <c:axId val="-1810646848"/>
      </c:lineChart>
      <c:catAx>
        <c:axId val="-1810650608"/>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646848"/>
        <c:crosses val="autoZero"/>
        <c:auto val="1"/>
        <c:lblAlgn val="ctr"/>
        <c:lblOffset val="100"/>
        <c:noMultiLvlLbl val="0"/>
      </c:catAx>
      <c:valAx>
        <c:axId val="-1810646848"/>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Peanut Price ($/ton)</a:t>
                </a:r>
              </a:p>
            </c:rich>
          </c:tx>
          <c:layout>
            <c:manualLayout>
              <c:xMode val="edge"/>
              <c:yMode val="edge"/>
              <c:x val="8.3441062404512902E-5"/>
              <c:y val="0.30024372759856599"/>
            </c:manualLayout>
          </c:layout>
          <c:overlay val="0"/>
        </c:title>
        <c:numFmt formatCode="_(&quot;$&quot;* #,##0_);_(&quot;$&quot;* \(#,##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650608"/>
        <c:crosses val="autoZero"/>
        <c:crossBetween val="between"/>
      </c:valAx>
    </c:plotArea>
    <c:legend>
      <c:legendPos val="r"/>
      <c:layout>
        <c:manualLayout>
          <c:xMode val="edge"/>
          <c:yMode val="edge"/>
          <c:x val="0.13651010041655201"/>
          <c:y val="0.69428905257810503"/>
          <c:w val="0.226657787179588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Soybean Price Needed to Give Equal Returns Above Variable Costs to Corn at Budgeted Yields *</a:t>
            </a:r>
          </a:p>
        </c:rich>
      </c:tx>
      <c:overlay val="0"/>
    </c:title>
    <c:autoTitleDeleted val="0"/>
    <c:plotArea>
      <c:layout>
        <c:manualLayout>
          <c:layoutTarget val="inner"/>
          <c:xMode val="edge"/>
          <c:yMode val="edge"/>
          <c:x val="0.13366369744322501"/>
          <c:y val="9.7056084681031607E-2"/>
          <c:w val="0.80786312183950004"/>
          <c:h val="0.71248991719977495"/>
        </c:manualLayout>
      </c:layout>
      <c:lineChart>
        <c:grouping val="standard"/>
        <c:varyColors val="0"/>
        <c:ser>
          <c:idx val="0"/>
          <c:order val="0"/>
          <c:tx>
            <c:strRef>
              <c:f>Prices!$O$6</c:f>
              <c:strCache>
                <c:ptCount val="1"/>
                <c:pt idx="0">
                  <c:v>Irrigated Soybean</c:v>
                </c:pt>
              </c:strCache>
            </c:strRef>
          </c:tx>
          <c:spPr>
            <a:ln>
              <a:solidFill>
                <a:schemeClr val="accent4">
                  <a:lumMod val="75000"/>
                </a:schemeClr>
              </a:solidFill>
            </a:ln>
          </c:spPr>
          <c:marker>
            <c:symbol val="circle"/>
            <c:size val="7"/>
            <c:spPr>
              <a:solidFill>
                <a:schemeClr val="accent4">
                  <a:lumMod val="60000"/>
                  <a:lumOff val="40000"/>
                </a:schemeClr>
              </a:solidFill>
              <a:ln>
                <a:solidFill>
                  <a:srgbClr val="7030A0"/>
                </a:solidFill>
              </a:ln>
            </c:spPr>
          </c:marker>
          <c:dLbls>
            <c:spPr>
              <a:solidFill>
                <a:schemeClr val="accent4">
                  <a:lumMod val="40000"/>
                  <a:lumOff val="60000"/>
                  <a:alpha val="5000"/>
                </a:schemeClr>
              </a:solidFill>
            </c:spPr>
            <c:txPr>
              <a:bodyPr rot="2700000" vert="horz"/>
              <a:lstStyle/>
              <a:p>
                <a:pPr algn="ctr">
                  <a:defRPr sz="1200" b="1"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Prices!$O$7:$O$21</c:f>
              <c:numCache>
                <c:formatCode>_("$"* #,##0.00_);_("$"* \(#,##0.00\);_("$"* "-"??_);_(@_)</c:formatCode>
                <c:ptCount val="15"/>
                <c:pt idx="0">
                  <c:v>5.5367041666666621</c:v>
                </c:pt>
                <c:pt idx="1">
                  <c:v>6.0367041666666621</c:v>
                </c:pt>
                <c:pt idx="2">
                  <c:v>6.5367041666666621</c:v>
                </c:pt>
                <c:pt idx="3">
                  <c:v>7.0367041666666621</c:v>
                </c:pt>
                <c:pt idx="4">
                  <c:v>7.5367041666666639</c:v>
                </c:pt>
                <c:pt idx="5">
                  <c:v>8.036704166666663</c:v>
                </c:pt>
                <c:pt idx="6">
                  <c:v>8.5367041666666648</c:v>
                </c:pt>
                <c:pt idx="7">
                  <c:v>9.0367041666666683</c:v>
                </c:pt>
                <c:pt idx="8">
                  <c:v>9.5367041666666683</c:v>
                </c:pt>
                <c:pt idx="9">
                  <c:v>10.03670416666667</c:v>
                </c:pt>
                <c:pt idx="10">
                  <c:v>10.536704166666672</c:v>
                </c:pt>
                <c:pt idx="11">
                  <c:v>11.036704166666672</c:v>
                </c:pt>
                <c:pt idx="12">
                  <c:v>11.536704166666672</c:v>
                </c:pt>
                <c:pt idx="13">
                  <c:v>12.036704166666675</c:v>
                </c:pt>
                <c:pt idx="14">
                  <c:v>12.536704166666675</c:v>
                </c:pt>
              </c:numCache>
            </c:numRef>
          </c:val>
          <c:smooth val="0"/>
          <c:extLst>
            <c:ext xmlns:c16="http://schemas.microsoft.com/office/drawing/2014/chart" uri="{C3380CC4-5D6E-409C-BE32-E72D297353CC}">
              <c16:uniqueId val="{00000000-9FCA-43F6-A1A2-97DE06BBE7A0}"/>
            </c:ext>
          </c:extLst>
        </c:ser>
        <c:ser>
          <c:idx val="1"/>
          <c:order val="1"/>
          <c:tx>
            <c:strRef>
              <c:f>Prices!$O$27</c:f>
              <c:strCache>
                <c:ptCount val="1"/>
                <c:pt idx="0">
                  <c:v>Non Irrigated Soybean</c:v>
                </c:pt>
              </c:strCache>
            </c:strRef>
          </c:tx>
          <c:spPr>
            <a:ln>
              <a:solidFill>
                <a:schemeClr val="accent6">
                  <a:lumMod val="75000"/>
                </a:schemeClr>
              </a:solidFill>
            </a:ln>
          </c:spPr>
          <c:marker>
            <c:symbol val="square"/>
            <c:size val="6"/>
            <c:spPr>
              <a:solidFill>
                <a:schemeClr val="accent6">
                  <a:lumMod val="60000"/>
                  <a:lumOff val="40000"/>
                </a:schemeClr>
              </a:solidFill>
              <a:ln>
                <a:solidFill>
                  <a:schemeClr val="accent6">
                    <a:lumMod val="50000"/>
                  </a:schemeClr>
                </a:solidFill>
              </a:ln>
            </c:spPr>
          </c:marker>
          <c:dLbls>
            <c:spPr>
              <a:solidFill>
                <a:srgbClr val="FFC000">
                  <a:alpha val="5000"/>
                </a:srgbClr>
              </a:solidFill>
            </c:spPr>
            <c:txPr>
              <a:bodyPr rot="5400000" vert="horz"/>
              <a:lstStyle/>
              <a:p>
                <a:pPr algn="ctr">
                  <a:defRPr sz="1200" b="1"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Prices!$N$7:$N$21</c:f>
              <c:numCache>
                <c:formatCode>_("$"* #,##0.00_);_("$"* \(#,##0.00\);_("$"* "-"??_);_(@_)</c:formatCode>
                <c:ptCount val="15"/>
                <c:pt idx="0">
                  <c:v>3.7499999999999982</c:v>
                </c:pt>
                <c:pt idx="1">
                  <c:v>3.8999999999999981</c:v>
                </c:pt>
                <c:pt idx="2">
                  <c:v>4.049999999999998</c:v>
                </c:pt>
                <c:pt idx="3">
                  <c:v>4.1999999999999984</c:v>
                </c:pt>
                <c:pt idx="4">
                  <c:v>4.3499999999999988</c:v>
                </c:pt>
                <c:pt idx="5">
                  <c:v>4.4999999999999991</c:v>
                </c:pt>
                <c:pt idx="6">
                  <c:v>4.6499999999999995</c:v>
                </c:pt>
                <c:pt idx="7">
                  <c:v>4.8</c:v>
                </c:pt>
                <c:pt idx="8">
                  <c:v>4.95</c:v>
                </c:pt>
                <c:pt idx="9">
                  <c:v>5.1000000000000005</c:v>
                </c:pt>
                <c:pt idx="10">
                  <c:v>5.2500000000000009</c:v>
                </c:pt>
                <c:pt idx="11">
                  <c:v>5.4000000000000012</c:v>
                </c:pt>
                <c:pt idx="12">
                  <c:v>5.5500000000000016</c:v>
                </c:pt>
                <c:pt idx="13">
                  <c:v>5.700000000000002</c:v>
                </c:pt>
                <c:pt idx="14">
                  <c:v>5.8500000000000023</c:v>
                </c:pt>
              </c:numCache>
            </c:numRef>
          </c:cat>
          <c:val>
            <c:numRef>
              <c:f>Prices!$O$28:$O$42</c:f>
              <c:numCache>
                <c:formatCode>_("$"* #,##0.00_);_("$"* \(#,##0.00\);_("$"* "-"??_);_(@_)</c:formatCode>
                <c:ptCount val="15"/>
                <c:pt idx="0">
                  <c:v>7.2462643020833282</c:v>
                </c:pt>
                <c:pt idx="1">
                  <c:v>7.671264302083328</c:v>
                </c:pt>
                <c:pt idx="2">
                  <c:v>8.0962643020833287</c:v>
                </c:pt>
                <c:pt idx="3">
                  <c:v>8.5212643020833294</c:v>
                </c:pt>
                <c:pt idx="4">
                  <c:v>8.9462643020833301</c:v>
                </c:pt>
                <c:pt idx="5">
                  <c:v>9.3712643020833308</c:v>
                </c:pt>
                <c:pt idx="6">
                  <c:v>9.7962643020833315</c:v>
                </c:pt>
                <c:pt idx="7">
                  <c:v>10.221264302083334</c:v>
                </c:pt>
                <c:pt idx="8">
                  <c:v>10.646264302083333</c:v>
                </c:pt>
                <c:pt idx="9">
                  <c:v>11.071264302083335</c:v>
                </c:pt>
                <c:pt idx="10">
                  <c:v>11.496264302083336</c:v>
                </c:pt>
                <c:pt idx="11">
                  <c:v>11.921264302083337</c:v>
                </c:pt>
                <c:pt idx="12">
                  <c:v>12.346264302083338</c:v>
                </c:pt>
                <c:pt idx="13">
                  <c:v>12.77126430208334</c:v>
                </c:pt>
                <c:pt idx="14">
                  <c:v>13.196264302083339</c:v>
                </c:pt>
              </c:numCache>
            </c:numRef>
          </c:val>
          <c:smooth val="0"/>
          <c:extLst>
            <c:ext xmlns:c16="http://schemas.microsoft.com/office/drawing/2014/chart" uri="{C3380CC4-5D6E-409C-BE32-E72D297353CC}">
              <c16:uniqueId val="{00000001-9FCA-43F6-A1A2-97DE06BBE7A0}"/>
            </c:ext>
          </c:extLst>
        </c:ser>
        <c:dLbls>
          <c:showLegendKey val="0"/>
          <c:showVal val="0"/>
          <c:showCatName val="0"/>
          <c:showSerName val="0"/>
          <c:showPercent val="0"/>
          <c:showBubbleSize val="0"/>
        </c:dLbls>
        <c:marker val="1"/>
        <c:smooth val="0"/>
        <c:axId val="-1810617008"/>
        <c:axId val="-1810613248"/>
      </c:lineChart>
      <c:catAx>
        <c:axId val="-1810617008"/>
        <c:scaling>
          <c:orientation val="minMax"/>
        </c:scaling>
        <c:delete val="0"/>
        <c:axPos val="b"/>
        <c:title>
          <c:tx>
            <c:rich>
              <a:bodyPr/>
              <a:lstStyle/>
              <a:p>
                <a:pPr>
                  <a:defRPr sz="1400" b="0" i="0" u="none" strike="noStrike" baseline="0">
                    <a:solidFill>
                      <a:srgbClr val="000000"/>
                    </a:solidFill>
                    <a:latin typeface="Calibri"/>
                    <a:ea typeface="Calibri"/>
                    <a:cs typeface="Calibri"/>
                  </a:defRPr>
                </a:pPr>
                <a:r>
                  <a:rPr lang="en-US"/>
                  <a:t>Corn Price ($/bu)</a:t>
                </a:r>
              </a:p>
            </c:rich>
          </c:tx>
          <c:overlay val="0"/>
        </c:title>
        <c:numFmt formatCode="_(&quot;$&quot;* #,##0.00_);_(&quot;$&quot;* \(#,##0.00\);_(&quot;$&quot;* &quot;-&quot;??_);_(@_)" sourceLinked="1"/>
        <c:majorTickMark val="none"/>
        <c:minorTickMark val="none"/>
        <c:tickLblPos val="nextTo"/>
        <c:txPr>
          <a:bodyPr rot="-5400000" vert="horz"/>
          <a:lstStyle/>
          <a:p>
            <a:pPr>
              <a:defRPr sz="1200" b="0" i="0" u="none" strike="noStrike" baseline="0">
                <a:solidFill>
                  <a:srgbClr val="000000"/>
                </a:solidFill>
                <a:latin typeface="Calibri"/>
                <a:ea typeface="Calibri"/>
                <a:cs typeface="Calibri"/>
              </a:defRPr>
            </a:pPr>
            <a:endParaRPr lang="en-US"/>
          </a:p>
        </c:txPr>
        <c:crossAx val="-1810613248"/>
        <c:crosses val="autoZero"/>
        <c:auto val="1"/>
        <c:lblAlgn val="ctr"/>
        <c:lblOffset val="100"/>
        <c:noMultiLvlLbl val="0"/>
      </c:catAx>
      <c:valAx>
        <c:axId val="-1810613248"/>
        <c:scaling>
          <c:orientation val="minMax"/>
        </c:scaling>
        <c:delete val="0"/>
        <c:axPos val="l"/>
        <c:majorGridlines/>
        <c:title>
          <c:tx>
            <c:rich>
              <a:bodyPr/>
              <a:lstStyle/>
              <a:p>
                <a:pPr>
                  <a:defRPr sz="1400" b="0" i="0" u="none" strike="noStrike" baseline="0">
                    <a:solidFill>
                      <a:srgbClr val="000000"/>
                    </a:solidFill>
                    <a:latin typeface="Calibri"/>
                    <a:ea typeface="Calibri"/>
                    <a:cs typeface="Calibri"/>
                  </a:defRPr>
                </a:pPr>
                <a:r>
                  <a:rPr lang="en-US"/>
                  <a:t>Soybean Price ($/bu)</a:t>
                </a:r>
              </a:p>
            </c:rich>
          </c:tx>
          <c:layout>
            <c:manualLayout>
              <c:xMode val="edge"/>
              <c:yMode val="edge"/>
              <c:x val="8.3467827391141405E-5"/>
              <c:y val="0.30024372759856599"/>
            </c:manualLayout>
          </c:layout>
          <c:overlay val="0"/>
        </c:title>
        <c:numFmt formatCode="_(&quot;$&quot;* #,##0.00_);_(&quot;$&quot;* \(#,##0.00\);_(&quot;$&quot;* &quot;-&quot;??_);_(@_)"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810617008"/>
        <c:crosses val="autoZero"/>
        <c:crossBetween val="between"/>
      </c:valAx>
    </c:plotArea>
    <c:legend>
      <c:legendPos val="r"/>
      <c:layout>
        <c:manualLayout>
          <c:xMode val="edge"/>
          <c:yMode val="edge"/>
          <c:x val="0.134806279649826"/>
          <c:y val="0.70803285073236799"/>
          <c:w val="0.24596286333773501"/>
          <c:h val="0.102313210848644"/>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99"/>
    </a:solidFill>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horizontalDpi="300" verticalDpi="300"/>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85725</xdr:colOff>
      <xdr:row>10</xdr:row>
      <xdr:rowOff>254812</xdr:rowOff>
    </xdr:from>
    <xdr:to>
      <xdr:col>2</xdr:col>
      <xdr:colOff>1040423</xdr:colOff>
      <xdr:row>14</xdr:row>
      <xdr:rowOff>93786</xdr:rowOff>
    </xdr:to>
    <xdr:sp macro="" textlink="">
      <xdr:nvSpPr>
        <xdr:cNvPr id="2" name="Left Arrow 1">
          <a:extLst>
            <a:ext uri="{FF2B5EF4-FFF2-40B4-BE49-F238E27FC236}">
              <a16:creationId xmlns:a16="http://schemas.microsoft.com/office/drawing/2014/main" id="{00000000-0008-0000-0400-000002000000}"/>
            </a:ext>
          </a:extLst>
        </xdr:cNvPr>
        <xdr:cNvSpPr/>
      </xdr:nvSpPr>
      <xdr:spPr>
        <a:xfrm>
          <a:off x="3763840" y="833639"/>
          <a:ext cx="954698" cy="813455"/>
        </a:xfrm>
        <a:prstGeom prst="lef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2</a:t>
          </a:r>
          <a:r>
            <a:rPr lang="en-US" sz="1800" b="1" baseline="30000">
              <a:solidFill>
                <a:sysClr val="windowText" lastClr="000000"/>
              </a:solidFill>
            </a:rPr>
            <a:t>nd</a:t>
          </a:r>
        </a:p>
      </xdr:txBody>
    </xdr:sp>
    <xdr:clientData/>
  </xdr:twoCellAnchor>
  <xdr:twoCellAnchor>
    <xdr:from>
      <xdr:col>2</xdr:col>
      <xdr:colOff>104774</xdr:colOff>
      <xdr:row>14</xdr:row>
      <xdr:rowOff>175846</xdr:rowOff>
    </xdr:from>
    <xdr:to>
      <xdr:col>2</xdr:col>
      <xdr:colOff>1059472</xdr:colOff>
      <xdr:row>16</xdr:row>
      <xdr:rowOff>234460</xdr:rowOff>
    </xdr:to>
    <xdr:sp macro="" textlink="">
      <xdr:nvSpPr>
        <xdr:cNvPr id="3" name="Left Arrow 2">
          <a:extLst>
            <a:ext uri="{FF2B5EF4-FFF2-40B4-BE49-F238E27FC236}">
              <a16:creationId xmlns:a16="http://schemas.microsoft.com/office/drawing/2014/main" id="{00000000-0008-0000-0400-000003000000}"/>
            </a:ext>
          </a:extLst>
        </xdr:cNvPr>
        <xdr:cNvSpPr/>
      </xdr:nvSpPr>
      <xdr:spPr>
        <a:xfrm>
          <a:off x="3782889" y="1729154"/>
          <a:ext cx="954698" cy="637441"/>
        </a:xfrm>
        <a:prstGeom prst="lef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3</a:t>
          </a:r>
          <a:r>
            <a:rPr lang="en-US" sz="1800" b="1" baseline="30000">
              <a:solidFill>
                <a:sysClr val="windowText" lastClr="000000"/>
              </a:solidFill>
            </a:rPr>
            <a:t>rd</a:t>
          </a:r>
          <a:endParaRPr lang="en-US" sz="1800" b="1">
            <a:solidFill>
              <a:sysClr val="windowText" lastClr="000000"/>
            </a:solidFill>
          </a:endParaRPr>
        </a:p>
      </xdr:txBody>
    </xdr:sp>
    <xdr:clientData/>
  </xdr:twoCellAnchor>
  <xdr:twoCellAnchor>
    <xdr:from>
      <xdr:col>2</xdr:col>
      <xdr:colOff>85725</xdr:colOff>
      <xdr:row>21</xdr:row>
      <xdr:rowOff>269466</xdr:rowOff>
    </xdr:from>
    <xdr:to>
      <xdr:col>2</xdr:col>
      <xdr:colOff>1040423</xdr:colOff>
      <xdr:row>25</xdr:row>
      <xdr:rowOff>108440</xdr:rowOff>
    </xdr:to>
    <xdr:sp macro="" textlink="">
      <xdr:nvSpPr>
        <xdr:cNvPr id="4" name="Left Arrow 3">
          <a:extLst>
            <a:ext uri="{FF2B5EF4-FFF2-40B4-BE49-F238E27FC236}">
              <a16:creationId xmlns:a16="http://schemas.microsoft.com/office/drawing/2014/main" id="{00000000-0008-0000-0400-000004000000}"/>
            </a:ext>
          </a:extLst>
        </xdr:cNvPr>
        <xdr:cNvSpPr/>
      </xdr:nvSpPr>
      <xdr:spPr>
        <a:xfrm>
          <a:off x="3763840" y="3852331"/>
          <a:ext cx="954698" cy="813455"/>
        </a:xfrm>
        <a:prstGeom prst="lef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2</a:t>
          </a:r>
          <a:r>
            <a:rPr lang="en-US" sz="1800" b="1" baseline="30000">
              <a:solidFill>
                <a:sysClr val="windowText" lastClr="000000"/>
              </a:solidFill>
            </a:rPr>
            <a:t>nd</a:t>
          </a:r>
        </a:p>
      </xdr:txBody>
    </xdr:sp>
    <xdr:clientData/>
  </xdr:twoCellAnchor>
  <xdr:twoCellAnchor>
    <xdr:from>
      <xdr:col>2</xdr:col>
      <xdr:colOff>104774</xdr:colOff>
      <xdr:row>25</xdr:row>
      <xdr:rowOff>168519</xdr:rowOff>
    </xdr:from>
    <xdr:to>
      <xdr:col>2</xdr:col>
      <xdr:colOff>1059472</xdr:colOff>
      <xdr:row>27</xdr:row>
      <xdr:rowOff>278423</xdr:rowOff>
    </xdr:to>
    <xdr:sp macro="" textlink="">
      <xdr:nvSpPr>
        <xdr:cNvPr id="5" name="Left Arrow 4">
          <a:extLst>
            <a:ext uri="{FF2B5EF4-FFF2-40B4-BE49-F238E27FC236}">
              <a16:creationId xmlns:a16="http://schemas.microsoft.com/office/drawing/2014/main" id="{00000000-0008-0000-0400-000005000000}"/>
            </a:ext>
          </a:extLst>
        </xdr:cNvPr>
        <xdr:cNvSpPr/>
      </xdr:nvSpPr>
      <xdr:spPr>
        <a:xfrm>
          <a:off x="3782889" y="4725865"/>
          <a:ext cx="954698" cy="688731"/>
        </a:xfrm>
        <a:prstGeom prst="lef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ysClr val="windowText" lastClr="000000"/>
              </a:solidFill>
            </a:rPr>
            <a:t>3</a:t>
          </a:r>
          <a:r>
            <a:rPr lang="en-US" sz="2000" b="1" baseline="30000">
              <a:solidFill>
                <a:sysClr val="windowText" lastClr="000000"/>
              </a:solidFill>
            </a:rPr>
            <a:t>rd</a:t>
          </a:r>
        </a:p>
      </xdr:txBody>
    </xdr:sp>
    <xdr:clientData/>
  </xdr:twoCellAnchor>
  <xdr:twoCellAnchor>
    <xdr:from>
      <xdr:col>2</xdr:col>
      <xdr:colOff>66675</xdr:colOff>
      <xdr:row>8</xdr:row>
      <xdr:rowOff>96634</xdr:rowOff>
    </xdr:from>
    <xdr:to>
      <xdr:col>2</xdr:col>
      <xdr:colOff>1021373</xdr:colOff>
      <xdr:row>10</xdr:row>
      <xdr:rowOff>97449</xdr:rowOff>
    </xdr:to>
    <xdr:sp macro="" textlink="">
      <xdr:nvSpPr>
        <xdr:cNvPr id="6" name="Left Arrow 5">
          <a:extLst>
            <a:ext uri="{FF2B5EF4-FFF2-40B4-BE49-F238E27FC236}">
              <a16:creationId xmlns:a16="http://schemas.microsoft.com/office/drawing/2014/main" id="{00000000-0008-0000-0400-000006000000}"/>
            </a:ext>
          </a:extLst>
        </xdr:cNvPr>
        <xdr:cNvSpPr/>
      </xdr:nvSpPr>
      <xdr:spPr>
        <a:xfrm>
          <a:off x="3744790" y="96634"/>
          <a:ext cx="954698" cy="579642"/>
        </a:xfrm>
        <a:prstGeom prst="lef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1</a:t>
          </a:r>
          <a:r>
            <a:rPr lang="en-US" sz="1800" b="1" baseline="30000">
              <a:solidFill>
                <a:sysClr val="windowText" lastClr="000000"/>
              </a:solidFill>
            </a:rPr>
            <a:t>st</a:t>
          </a:r>
        </a:p>
      </xdr:txBody>
    </xdr:sp>
    <xdr:clientData/>
  </xdr:twoCellAnchor>
  <xdr:twoCellAnchor>
    <xdr:from>
      <xdr:col>2</xdr:col>
      <xdr:colOff>57150</xdr:colOff>
      <xdr:row>19</xdr:row>
      <xdr:rowOff>118616</xdr:rowOff>
    </xdr:from>
    <xdr:to>
      <xdr:col>2</xdr:col>
      <xdr:colOff>1011848</xdr:colOff>
      <xdr:row>21</xdr:row>
      <xdr:rowOff>119430</xdr:rowOff>
    </xdr:to>
    <xdr:sp macro="" textlink="">
      <xdr:nvSpPr>
        <xdr:cNvPr id="7" name="Left Arrow 6">
          <a:extLst>
            <a:ext uri="{FF2B5EF4-FFF2-40B4-BE49-F238E27FC236}">
              <a16:creationId xmlns:a16="http://schemas.microsoft.com/office/drawing/2014/main" id="{00000000-0008-0000-0400-000007000000}"/>
            </a:ext>
          </a:extLst>
        </xdr:cNvPr>
        <xdr:cNvSpPr/>
      </xdr:nvSpPr>
      <xdr:spPr>
        <a:xfrm>
          <a:off x="3735265" y="3122654"/>
          <a:ext cx="954698" cy="579641"/>
        </a:xfrm>
        <a:prstGeom prst="lef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1</a:t>
          </a:r>
          <a:r>
            <a:rPr lang="en-US" sz="1800" b="1" baseline="30000">
              <a:solidFill>
                <a:sysClr val="windowText" lastClr="000000"/>
              </a:solidFill>
            </a:rPr>
            <a:t>st</a:t>
          </a:r>
          <a:endParaRPr 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590550</xdr:colOff>
      <xdr:row>27</xdr:row>
      <xdr:rowOff>95250</xdr:rowOff>
    </xdr:to>
    <xdr:graphicFrame macro="">
      <xdr:nvGraphicFramePr>
        <xdr:cNvPr id="2349" name="Chart 1">
          <a:extLst>
            <a:ext uri="{FF2B5EF4-FFF2-40B4-BE49-F238E27FC236}">
              <a16:creationId xmlns:a16="http://schemas.microsoft.com/office/drawing/2014/main" id="{00000000-0008-0000-0600-00002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19050</xdr:rowOff>
    </xdr:from>
    <xdr:to>
      <xdr:col>12</xdr:col>
      <xdr:colOff>581025</xdr:colOff>
      <xdr:row>61</xdr:row>
      <xdr:rowOff>95250</xdr:rowOff>
    </xdr:to>
    <xdr:graphicFrame macro="">
      <xdr:nvGraphicFramePr>
        <xdr:cNvPr id="2350" name="Chart 1">
          <a:extLst>
            <a:ext uri="{FF2B5EF4-FFF2-40B4-BE49-F238E27FC236}">
              <a16:creationId xmlns:a16="http://schemas.microsoft.com/office/drawing/2014/main" id="{00000000-0008-0000-0600-00002E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68</xdr:row>
      <xdr:rowOff>38100</xdr:rowOff>
    </xdr:from>
    <xdr:to>
      <xdr:col>12</xdr:col>
      <xdr:colOff>581025</xdr:colOff>
      <xdr:row>95</xdr:row>
      <xdr:rowOff>95250</xdr:rowOff>
    </xdr:to>
    <xdr:graphicFrame macro="">
      <xdr:nvGraphicFramePr>
        <xdr:cNvPr id="2351" name="Chart 1">
          <a:extLst>
            <a:ext uri="{FF2B5EF4-FFF2-40B4-BE49-F238E27FC236}">
              <a16:creationId xmlns:a16="http://schemas.microsoft.com/office/drawing/2014/main" id="{00000000-0008-0000-0600-00002F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102</xdr:row>
      <xdr:rowOff>47625</xdr:rowOff>
    </xdr:from>
    <xdr:to>
      <xdr:col>12</xdr:col>
      <xdr:colOff>581025</xdr:colOff>
      <xdr:row>129</xdr:row>
      <xdr:rowOff>95250</xdr:rowOff>
    </xdr:to>
    <xdr:graphicFrame macro="">
      <xdr:nvGraphicFramePr>
        <xdr:cNvPr id="2352" name="Chart 1">
          <a:extLst>
            <a:ext uri="{FF2B5EF4-FFF2-40B4-BE49-F238E27FC236}">
              <a16:creationId xmlns:a16="http://schemas.microsoft.com/office/drawing/2014/main" id="{00000000-0008-0000-0600-000030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136</xdr:row>
      <xdr:rowOff>28575</xdr:rowOff>
    </xdr:from>
    <xdr:to>
      <xdr:col>12</xdr:col>
      <xdr:colOff>581025</xdr:colOff>
      <xdr:row>163</xdr:row>
      <xdr:rowOff>76200</xdr:rowOff>
    </xdr:to>
    <xdr:graphicFrame macro="">
      <xdr:nvGraphicFramePr>
        <xdr:cNvPr id="2353" name="Chart 1">
          <a:extLst>
            <a:ext uri="{FF2B5EF4-FFF2-40B4-BE49-F238E27FC236}">
              <a16:creationId xmlns:a16="http://schemas.microsoft.com/office/drawing/2014/main" id="{00000000-0008-0000-0600-00003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170</xdr:row>
      <xdr:rowOff>28575</xdr:rowOff>
    </xdr:from>
    <xdr:to>
      <xdr:col>12</xdr:col>
      <xdr:colOff>581025</xdr:colOff>
      <xdr:row>197</xdr:row>
      <xdr:rowOff>104775</xdr:rowOff>
    </xdr:to>
    <xdr:graphicFrame macro="">
      <xdr:nvGraphicFramePr>
        <xdr:cNvPr id="2354" name="Chart 1">
          <a:extLst>
            <a:ext uri="{FF2B5EF4-FFF2-40B4-BE49-F238E27FC236}">
              <a16:creationId xmlns:a16="http://schemas.microsoft.com/office/drawing/2014/main" id="{00000000-0008-0000-0600-000032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204</xdr:row>
      <xdr:rowOff>38100</xdr:rowOff>
    </xdr:from>
    <xdr:to>
      <xdr:col>12</xdr:col>
      <xdr:colOff>581025</xdr:colOff>
      <xdr:row>231</xdr:row>
      <xdr:rowOff>133350</xdr:rowOff>
    </xdr:to>
    <xdr:graphicFrame macro="">
      <xdr:nvGraphicFramePr>
        <xdr:cNvPr id="2355" name="Chart 1">
          <a:extLst>
            <a:ext uri="{FF2B5EF4-FFF2-40B4-BE49-F238E27FC236}">
              <a16:creationId xmlns:a16="http://schemas.microsoft.com/office/drawing/2014/main" id="{00000000-0008-0000-06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238</xdr:row>
      <xdr:rowOff>38100</xdr:rowOff>
    </xdr:from>
    <xdr:to>
      <xdr:col>12</xdr:col>
      <xdr:colOff>590550</xdr:colOff>
      <xdr:row>265</xdr:row>
      <xdr:rowOff>95250</xdr:rowOff>
    </xdr:to>
    <xdr:graphicFrame macro="">
      <xdr:nvGraphicFramePr>
        <xdr:cNvPr id="2356" name="Chart 1">
          <a:extLst>
            <a:ext uri="{FF2B5EF4-FFF2-40B4-BE49-F238E27FC236}">
              <a16:creationId xmlns:a16="http://schemas.microsoft.com/office/drawing/2014/main" id="{00000000-0008-0000-0600-000034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272</xdr:row>
      <xdr:rowOff>38100</xdr:rowOff>
    </xdr:from>
    <xdr:to>
      <xdr:col>12</xdr:col>
      <xdr:colOff>581025</xdr:colOff>
      <xdr:row>299</xdr:row>
      <xdr:rowOff>95250</xdr:rowOff>
    </xdr:to>
    <xdr:graphicFrame macro="">
      <xdr:nvGraphicFramePr>
        <xdr:cNvPr id="2357" name="Chart 1">
          <a:extLst>
            <a:ext uri="{FF2B5EF4-FFF2-40B4-BE49-F238E27FC236}">
              <a16:creationId xmlns:a16="http://schemas.microsoft.com/office/drawing/2014/main" id="{00000000-0008-0000-06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306</xdr:row>
      <xdr:rowOff>28575</xdr:rowOff>
    </xdr:from>
    <xdr:to>
      <xdr:col>12</xdr:col>
      <xdr:colOff>590550</xdr:colOff>
      <xdr:row>332</xdr:row>
      <xdr:rowOff>133350</xdr:rowOff>
    </xdr:to>
    <xdr:graphicFrame macro="">
      <xdr:nvGraphicFramePr>
        <xdr:cNvPr id="2358" name="Chart 1">
          <a:extLst>
            <a:ext uri="{FF2B5EF4-FFF2-40B4-BE49-F238E27FC236}">
              <a16:creationId xmlns:a16="http://schemas.microsoft.com/office/drawing/2014/main" id="{00000000-0008-0000-0600-00003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xdr:colOff>
      <xdr:row>340</xdr:row>
      <xdr:rowOff>38100</xdr:rowOff>
    </xdr:from>
    <xdr:to>
      <xdr:col>12</xdr:col>
      <xdr:colOff>590550</xdr:colOff>
      <xdr:row>367</xdr:row>
      <xdr:rowOff>95250</xdr:rowOff>
    </xdr:to>
    <xdr:graphicFrame macro="">
      <xdr:nvGraphicFramePr>
        <xdr:cNvPr id="2359" name="Chart 1">
          <a:extLst>
            <a:ext uri="{FF2B5EF4-FFF2-40B4-BE49-F238E27FC236}">
              <a16:creationId xmlns:a16="http://schemas.microsoft.com/office/drawing/2014/main" id="{00000000-0008-0000-06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374</xdr:row>
      <xdr:rowOff>38100</xdr:rowOff>
    </xdr:from>
    <xdr:to>
      <xdr:col>12</xdr:col>
      <xdr:colOff>581025</xdr:colOff>
      <xdr:row>401</xdr:row>
      <xdr:rowOff>104775</xdr:rowOff>
    </xdr:to>
    <xdr:graphicFrame macro="">
      <xdr:nvGraphicFramePr>
        <xdr:cNvPr id="2360" name="Chart 1">
          <a:extLst>
            <a:ext uri="{FF2B5EF4-FFF2-40B4-BE49-F238E27FC236}">
              <a16:creationId xmlns:a16="http://schemas.microsoft.com/office/drawing/2014/main" id="{00000000-0008-0000-0600-00003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590550</xdr:colOff>
      <xdr:row>27</xdr:row>
      <xdr:rowOff>95250</xdr:rowOff>
    </xdr:to>
    <xdr:graphicFrame macro="">
      <xdr:nvGraphicFramePr>
        <xdr:cNvPr id="3373" name="Chart 1">
          <a:extLst>
            <a:ext uri="{FF2B5EF4-FFF2-40B4-BE49-F238E27FC236}">
              <a16:creationId xmlns:a16="http://schemas.microsoft.com/office/drawing/2014/main" id="{00000000-0008-0000-0700-00002D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19050</xdr:rowOff>
    </xdr:from>
    <xdr:to>
      <xdr:col>12</xdr:col>
      <xdr:colOff>581025</xdr:colOff>
      <xdr:row>61</xdr:row>
      <xdr:rowOff>95250</xdr:rowOff>
    </xdr:to>
    <xdr:graphicFrame macro="">
      <xdr:nvGraphicFramePr>
        <xdr:cNvPr id="3374" name="Chart 1">
          <a:extLst>
            <a:ext uri="{FF2B5EF4-FFF2-40B4-BE49-F238E27FC236}">
              <a16:creationId xmlns:a16="http://schemas.microsoft.com/office/drawing/2014/main" id="{00000000-0008-0000-0700-00002E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68</xdr:row>
      <xdr:rowOff>38100</xdr:rowOff>
    </xdr:from>
    <xdr:to>
      <xdr:col>12</xdr:col>
      <xdr:colOff>581025</xdr:colOff>
      <xdr:row>95</xdr:row>
      <xdr:rowOff>95250</xdr:rowOff>
    </xdr:to>
    <xdr:graphicFrame macro="">
      <xdr:nvGraphicFramePr>
        <xdr:cNvPr id="3375" name="Chart 1">
          <a:extLst>
            <a:ext uri="{FF2B5EF4-FFF2-40B4-BE49-F238E27FC236}">
              <a16:creationId xmlns:a16="http://schemas.microsoft.com/office/drawing/2014/main" id="{00000000-0008-0000-0700-00002F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102</xdr:row>
      <xdr:rowOff>47625</xdr:rowOff>
    </xdr:from>
    <xdr:to>
      <xdr:col>12</xdr:col>
      <xdr:colOff>581025</xdr:colOff>
      <xdr:row>129</xdr:row>
      <xdr:rowOff>95250</xdr:rowOff>
    </xdr:to>
    <xdr:graphicFrame macro="">
      <xdr:nvGraphicFramePr>
        <xdr:cNvPr id="3376" name="Chart 1">
          <a:extLst>
            <a:ext uri="{FF2B5EF4-FFF2-40B4-BE49-F238E27FC236}">
              <a16:creationId xmlns:a16="http://schemas.microsoft.com/office/drawing/2014/main" id="{00000000-0008-0000-0700-000030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136</xdr:row>
      <xdr:rowOff>28575</xdr:rowOff>
    </xdr:from>
    <xdr:to>
      <xdr:col>12</xdr:col>
      <xdr:colOff>581025</xdr:colOff>
      <xdr:row>163</xdr:row>
      <xdr:rowOff>76200</xdr:rowOff>
    </xdr:to>
    <xdr:graphicFrame macro="">
      <xdr:nvGraphicFramePr>
        <xdr:cNvPr id="3377" name="Chart 1">
          <a:extLst>
            <a:ext uri="{FF2B5EF4-FFF2-40B4-BE49-F238E27FC236}">
              <a16:creationId xmlns:a16="http://schemas.microsoft.com/office/drawing/2014/main" id="{00000000-0008-0000-0700-000031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170</xdr:row>
      <xdr:rowOff>28575</xdr:rowOff>
    </xdr:from>
    <xdr:to>
      <xdr:col>12</xdr:col>
      <xdr:colOff>581025</xdr:colOff>
      <xdr:row>197</xdr:row>
      <xdr:rowOff>104775</xdr:rowOff>
    </xdr:to>
    <xdr:graphicFrame macro="">
      <xdr:nvGraphicFramePr>
        <xdr:cNvPr id="3378" name="Chart 1">
          <a:extLst>
            <a:ext uri="{FF2B5EF4-FFF2-40B4-BE49-F238E27FC236}">
              <a16:creationId xmlns:a16="http://schemas.microsoft.com/office/drawing/2014/main" id="{00000000-0008-0000-0700-000032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204</xdr:row>
      <xdr:rowOff>66675</xdr:rowOff>
    </xdr:from>
    <xdr:to>
      <xdr:col>12</xdr:col>
      <xdr:colOff>581025</xdr:colOff>
      <xdr:row>231</xdr:row>
      <xdr:rowOff>161925</xdr:rowOff>
    </xdr:to>
    <xdr:graphicFrame macro="">
      <xdr:nvGraphicFramePr>
        <xdr:cNvPr id="3379" name="Chart 1">
          <a:extLst>
            <a:ext uri="{FF2B5EF4-FFF2-40B4-BE49-F238E27FC236}">
              <a16:creationId xmlns:a16="http://schemas.microsoft.com/office/drawing/2014/main" id="{00000000-0008-0000-0700-000033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238</xdr:row>
      <xdr:rowOff>38100</xdr:rowOff>
    </xdr:from>
    <xdr:to>
      <xdr:col>12</xdr:col>
      <xdr:colOff>590550</xdr:colOff>
      <xdr:row>265</xdr:row>
      <xdr:rowOff>95250</xdr:rowOff>
    </xdr:to>
    <xdr:graphicFrame macro="">
      <xdr:nvGraphicFramePr>
        <xdr:cNvPr id="3380" name="Chart 1">
          <a:extLst>
            <a:ext uri="{FF2B5EF4-FFF2-40B4-BE49-F238E27FC236}">
              <a16:creationId xmlns:a16="http://schemas.microsoft.com/office/drawing/2014/main" id="{00000000-0008-0000-0700-000034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272</xdr:row>
      <xdr:rowOff>38100</xdr:rowOff>
    </xdr:from>
    <xdr:to>
      <xdr:col>12</xdr:col>
      <xdr:colOff>581025</xdr:colOff>
      <xdr:row>299</xdr:row>
      <xdr:rowOff>95250</xdr:rowOff>
    </xdr:to>
    <xdr:graphicFrame macro="">
      <xdr:nvGraphicFramePr>
        <xdr:cNvPr id="3381" name="Chart 1">
          <a:extLst>
            <a:ext uri="{FF2B5EF4-FFF2-40B4-BE49-F238E27FC236}">
              <a16:creationId xmlns:a16="http://schemas.microsoft.com/office/drawing/2014/main" id="{00000000-0008-0000-0700-000035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306</xdr:row>
      <xdr:rowOff>28575</xdr:rowOff>
    </xdr:from>
    <xdr:to>
      <xdr:col>12</xdr:col>
      <xdr:colOff>590550</xdr:colOff>
      <xdr:row>332</xdr:row>
      <xdr:rowOff>133350</xdr:rowOff>
    </xdr:to>
    <xdr:graphicFrame macro="">
      <xdr:nvGraphicFramePr>
        <xdr:cNvPr id="3382" name="Chart 1">
          <a:extLst>
            <a:ext uri="{FF2B5EF4-FFF2-40B4-BE49-F238E27FC236}">
              <a16:creationId xmlns:a16="http://schemas.microsoft.com/office/drawing/2014/main" id="{00000000-0008-0000-0700-000036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xdr:colOff>
      <xdr:row>340</xdr:row>
      <xdr:rowOff>38100</xdr:rowOff>
    </xdr:from>
    <xdr:to>
      <xdr:col>12</xdr:col>
      <xdr:colOff>590550</xdr:colOff>
      <xdr:row>367</xdr:row>
      <xdr:rowOff>95250</xdr:rowOff>
    </xdr:to>
    <xdr:graphicFrame macro="">
      <xdr:nvGraphicFramePr>
        <xdr:cNvPr id="3383" name="Chart 1">
          <a:extLst>
            <a:ext uri="{FF2B5EF4-FFF2-40B4-BE49-F238E27FC236}">
              <a16:creationId xmlns:a16="http://schemas.microsoft.com/office/drawing/2014/main" id="{00000000-0008-0000-0700-000037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374</xdr:row>
      <xdr:rowOff>38100</xdr:rowOff>
    </xdr:from>
    <xdr:to>
      <xdr:col>12</xdr:col>
      <xdr:colOff>581025</xdr:colOff>
      <xdr:row>401</xdr:row>
      <xdr:rowOff>104775</xdr:rowOff>
    </xdr:to>
    <xdr:graphicFrame macro="">
      <xdr:nvGraphicFramePr>
        <xdr:cNvPr id="3384" name="Chart 1">
          <a:extLst>
            <a:ext uri="{FF2B5EF4-FFF2-40B4-BE49-F238E27FC236}">
              <a16:creationId xmlns:a16="http://schemas.microsoft.com/office/drawing/2014/main" id="{00000000-0008-0000-0700-000038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workbookViewId="0">
      <selection activeCell="D8" sqref="D8:D12"/>
    </sheetView>
  </sheetViews>
  <sheetFormatPr baseColWidth="10" defaultColWidth="8.83203125" defaultRowHeight="13" x14ac:dyDescent="0.15"/>
  <cols>
    <col min="1" max="2" width="4" bestFit="1" customWidth="1"/>
    <col min="3" max="4" width="5.1640625" bestFit="1" customWidth="1"/>
    <col min="5" max="5" width="4" bestFit="1" customWidth="1"/>
    <col min="6" max="6" width="6.83203125" bestFit="1" customWidth="1"/>
  </cols>
  <sheetData>
    <row r="1" spans="1:6" x14ac:dyDescent="0.15">
      <c r="A1" t="s">
        <v>180</v>
      </c>
      <c r="B1" t="s">
        <v>179</v>
      </c>
      <c r="C1" t="s">
        <v>183</v>
      </c>
      <c r="D1" t="s">
        <v>181</v>
      </c>
      <c r="E1" t="s">
        <v>182</v>
      </c>
    </row>
    <row r="2" spans="1:6" x14ac:dyDescent="0.15">
      <c r="A2">
        <v>850</v>
      </c>
      <c r="B2">
        <v>840</v>
      </c>
      <c r="C2">
        <v>404</v>
      </c>
      <c r="D2">
        <v>869</v>
      </c>
      <c r="E2">
        <v>516</v>
      </c>
      <c r="F2" t="s">
        <v>186</v>
      </c>
    </row>
    <row r="3" spans="1:6" x14ac:dyDescent="0.15">
      <c r="A3" s="291">
        <f>AVERAGE(600, 586)</f>
        <v>593</v>
      </c>
      <c r="B3" s="291">
        <f>AVERAGE(537,551)</f>
        <v>544</v>
      </c>
      <c r="C3" s="291">
        <f>AVERAGE(311,301)</f>
        <v>306</v>
      </c>
      <c r="D3" s="291">
        <f>AVERAGE(617,597)</f>
        <v>607</v>
      </c>
      <c r="E3" s="291">
        <f>AVERAGE(268, 273)</f>
        <v>270.5</v>
      </c>
      <c r="F3" t="s">
        <v>185</v>
      </c>
    </row>
    <row r="4" spans="1:6" x14ac:dyDescent="0.15">
      <c r="A4" s="291">
        <f>A2-A3</f>
        <v>257</v>
      </c>
      <c r="B4" s="291">
        <f>B2-B3</f>
        <v>296</v>
      </c>
      <c r="C4" s="291">
        <f>C2-C3</f>
        <v>98</v>
      </c>
      <c r="D4" s="291">
        <f>D2-D3</f>
        <v>262</v>
      </c>
      <c r="E4" s="291">
        <f>E2-E3</f>
        <v>245.5</v>
      </c>
      <c r="F4" t="s">
        <v>187</v>
      </c>
    </row>
    <row r="5" spans="1:6" x14ac:dyDescent="0.15">
      <c r="A5" s="291">
        <f>A4-185</f>
        <v>72</v>
      </c>
      <c r="B5" s="291">
        <f>B4-185</f>
        <v>111</v>
      </c>
      <c r="C5" s="291">
        <f>C4-185</f>
        <v>-87</v>
      </c>
      <c r="D5" s="291">
        <f>D4-185</f>
        <v>77</v>
      </c>
      <c r="E5" s="291">
        <f>E4-185</f>
        <v>60.5</v>
      </c>
      <c r="F5" t="s">
        <v>188</v>
      </c>
    </row>
    <row r="8" spans="1:6" x14ac:dyDescent="0.15">
      <c r="A8" t="s">
        <v>184</v>
      </c>
      <c r="B8" t="s">
        <v>179</v>
      </c>
      <c r="C8" t="s">
        <v>183</v>
      </c>
      <c r="D8" t="s">
        <v>181</v>
      </c>
      <c r="E8" t="s">
        <v>182</v>
      </c>
    </row>
    <row r="9" spans="1:6" x14ac:dyDescent="0.15">
      <c r="A9">
        <v>361</v>
      </c>
      <c r="B9">
        <v>525</v>
      </c>
      <c r="C9">
        <v>263</v>
      </c>
      <c r="D9">
        <v>630</v>
      </c>
      <c r="E9">
        <v>258</v>
      </c>
      <c r="F9" t="s">
        <v>186</v>
      </c>
    </row>
    <row r="10" spans="1:6" x14ac:dyDescent="0.15">
      <c r="A10" s="291">
        <f>AVERAGE(293,298)</f>
        <v>295.5</v>
      </c>
      <c r="B10" s="291">
        <f>AVERAGE(424, 445)</f>
        <v>434.5</v>
      </c>
      <c r="C10" s="291">
        <f>AVERAGE(199,198)</f>
        <v>198.5</v>
      </c>
      <c r="D10" s="291">
        <f>AVERAGE(537, 528)</f>
        <v>532.5</v>
      </c>
      <c r="E10" s="291">
        <f>AVERAGE(196, 208)</f>
        <v>202</v>
      </c>
      <c r="F10" t="s">
        <v>185</v>
      </c>
    </row>
    <row r="11" spans="1:6" x14ac:dyDescent="0.15">
      <c r="A11" s="291">
        <f>A9-A10</f>
        <v>65.5</v>
      </c>
      <c r="B11" s="291">
        <f>B9-B10</f>
        <v>90.5</v>
      </c>
      <c r="C11" s="291">
        <f>C9-C10</f>
        <v>64.5</v>
      </c>
      <c r="D11" s="291">
        <f>D9-D10</f>
        <v>97.5</v>
      </c>
      <c r="E11" s="291">
        <f>E9-E10</f>
        <v>56</v>
      </c>
      <c r="F11" t="s">
        <v>187</v>
      </c>
    </row>
    <row r="12" spans="1:6" x14ac:dyDescent="0.15">
      <c r="A12" s="291">
        <f>A11-75</f>
        <v>-9.5</v>
      </c>
      <c r="B12" s="291">
        <f>B11-75</f>
        <v>15.5</v>
      </c>
      <c r="C12" s="291">
        <f>C11-75</f>
        <v>-10.5</v>
      </c>
      <c r="D12" s="291">
        <f>D11-75</f>
        <v>22.5</v>
      </c>
      <c r="E12" s="291">
        <f>E11-75</f>
        <v>-19</v>
      </c>
      <c r="F12" t="s">
        <v>188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M59"/>
  <sheetViews>
    <sheetView topLeftCell="A7" workbookViewId="0">
      <selection sqref="A1:I1"/>
    </sheetView>
  </sheetViews>
  <sheetFormatPr baseColWidth="10" defaultColWidth="9.33203125" defaultRowHeight="13" x14ac:dyDescent="0.15"/>
  <cols>
    <col min="1" max="16384" width="9.33203125" style="66"/>
  </cols>
  <sheetData>
    <row r="1" spans="1:13" s="53" customFormat="1" ht="12" hidden="1" x14ac:dyDescent="0.15">
      <c r="B1" s="439" t="s">
        <v>46</v>
      </c>
      <c r="C1" s="439"/>
      <c r="D1" s="439"/>
      <c r="E1" s="439"/>
      <c r="F1" s="439"/>
      <c r="G1" s="439"/>
    </row>
    <row r="2" spans="1:13" s="53" customFormat="1" ht="12" hidden="1" x14ac:dyDescent="0.15">
      <c r="A2" s="54" t="s">
        <v>40</v>
      </c>
      <c r="B2" s="55" t="str">
        <f>Conventional!L6</f>
        <v>Cotton</v>
      </c>
      <c r="C2" s="55" t="str">
        <f>Conventional!N6</f>
        <v>Peanuts</v>
      </c>
      <c r="D2" s="55" t="str">
        <f>Conventional!P6</f>
        <v>Corn</v>
      </c>
      <c r="E2" s="55" t="str">
        <f>Conventional!R6</f>
        <v>Soybeans</v>
      </c>
      <c r="F2" s="55" t="str">
        <f>Conventional!T6</f>
        <v>Sorghum</v>
      </c>
      <c r="G2" s="55" t="str">
        <f>Conventional!X6</f>
        <v>Wheat</v>
      </c>
    </row>
    <row r="3" spans="1:13" s="53" customFormat="1" ht="12" hidden="1" x14ac:dyDescent="0.15">
      <c r="A3" s="54" t="s">
        <v>41</v>
      </c>
      <c r="B3" s="56">
        <f>Conventional!L7</f>
        <v>750</v>
      </c>
      <c r="C3" s="56">
        <f>Conventional!N7</f>
        <v>3400</v>
      </c>
      <c r="D3" s="56">
        <f>Conventional!P7</f>
        <v>85</v>
      </c>
      <c r="E3" s="56">
        <f>Conventional!R7</f>
        <v>30</v>
      </c>
      <c r="F3" s="56">
        <f>Conventional!T7</f>
        <v>65</v>
      </c>
      <c r="G3" s="56">
        <f>Conventional!X7</f>
        <v>55</v>
      </c>
    </row>
    <row r="4" spans="1:13" s="53" customFormat="1" ht="12" hidden="1" x14ac:dyDescent="0.15">
      <c r="A4" s="53" t="s">
        <v>42</v>
      </c>
      <c r="B4" s="58">
        <f>Conventional!L8</f>
        <v>0.67500000000000004</v>
      </c>
      <c r="C4" s="59">
        <f>Conventional!N8</f>
        <v>400</v>
      </c>
      <c r="D4" s="60">
        <f>Conventional!P8</f>
        <v>4.8</v>
      </c>
      <c r="E4" s="60">
        <f>Conventional!R8</f>
        <v>9.5</v>
      </c>
      <c r="F4" s="60">
        <f>Conventional!T8</f>
        <v>4.7759999999999998</v>
      </c>
      <c r="G4" s="60">
        <f>Conventional!X8</f>
        <v>5.5</v>
      </c>
    </row>
    <row r="5" spans="1:13" s="53" customFormat="1" ht="12" hidden="1" x14ac:dyDescent="0.15">
      <c r="A5" s="61" t="s">
        <v>44</v>
      </c>
      <c r="B5" s="62">
        <f t="shared" ref="B5:G5" si="0">B3*B4</f>
        <v>506.25000000000006</v>
      </c>
      <c r="C5" s="62">
        <f>C3*C4/2000</f>
        <v>680</v>
      </c>
      <c r="D5" s="62">
        <f t="shared" si="0"/>
        <v>408</v>
      </c>
      <c r="E5" s="62">
        <f t="shared" si="0"/>
        <v>285</v>
      </c>
      <c r="F5" s="62">
        <f t="shared" si="0"/>
        <v>310.44</v>
      </c>
      <c r="G5" s="62">
        <f t="shared" si="0"/>
        <v>302.5</v>
      </c>
    </row>
    <row r="6" spans="1:13" s="53" customFormat="1" ht="12" hidden="1" x14ac:dyDescent="0.15">
      <c r="A6" s="61" t="s">
        <v>43</v>
      </c>
      <c r="B6" s="64">
        <f>Conventional!L30</f>
        <v>513.85199289772731</v>
      </c>
      <c r="C6" s="64">
        <f>Conventional!N30</f>
        <v>671.73656249999999</v>
      </c>
      <c r="D6" s="64">
        <f>Conventional!P30</f>
        <v>399.01172093749994</v>
      </c>
      <c r="E6" s="64">
        <f>Conventional!R30</f>
        <v>297.64964999999995</v>
      </c>
      <c r="F6" s="64">
        <f>Conventional!T30</f>
        <v>293.87745687499995</v>
      </c>
      <c r="G6" s="64">
        <f>Conventional!X30</f>
        <v>323.01221937499997</v>
      </c>
    </row>
    <row r="7" spans="1:13" s="53" customFormat="1" ht="16" x14ac:dyDescent="0.2">
      <c r="A7" s="442" t="s">
        <v>128</v>
      </c>
      <c r="B7" s="442"/>
      <c r="C7" s="442"/>
      <c r="D7" s="442"/>
      <c r="E7" s="442"/>
      <c r="F7" s="442"/>
      <c r="G7" s="442"/>
      <c r="H7" s="442"/>
      <c r="I7" s="442"/>
      <c r="J7" s="442"/>
      <c r="K7" s="442"/>
      <c r="L7" s="442"/>
      <c r="M7" s="442"/>
    </row>
    <row r="8" spans="1:13" s="53" customFormat="1" ht="16" x14ac:dyDescent="0.2">
      <c r="A8" s="51" t="s">
        <v>35</v>
      </c>
      <c r="B8" s="65"/>
      <c r="C8" s="65"/>
      <c r="D8" s="65"/>
      <c r="E8" s="65"/>
      <c r="F8" s="65"/>
      <c r="G8" s="65"/>
      <c r="H8" s="65"/>
      <c r="I8" s="65"/>
      <c r="J8" s="65"/>
      <c r="K8" s="65"/>
      <c r="L8" s="65"/>
      <c r="M8" s="65"/>
    </row>
    <row r="9" spans="1:13" x14ac:dyDescent="0.15">
      <c r="A9" s="441" t="s">
        <v>153</v>
      </c>
      <c r="B9" s="441"/>
      <c r="C9" s="441"/>
      <c r="D9" s="441"/>
      <c r="E9" s="441"/>
      <c r="F9" s="441"/>
      <c r="G9" s="441"/>
      <c r="H9" s="441"/>
      <c r="I9" s="441"/>
      <c r="J9" s="441"/>
      <c r="K9" s="441"/>
      <c r="L9" s="441"/>
      <c r="M9" s="441"/>
    </row>
    <row r="10" spans="1:13" x14ac:dyDescent="0.15">
      <c r="A10" s="435" t="s">
        <v>51</v>
      </c>
      <c r="B10" s="435"/>
      <c r="C10" s="435"/>
      <c r="D10" s="435"/>
      <c r="E10" s="435"/>
      <c r="F10" s="435"/>
      <c r="H10" s="435" t="s">
        <v>52</v>
      </c>
      <c r="I10" s="435"/>
      <c r="J10" s="435"/>
      <c r="K10" s="435"/>
      <c r="L10" s="435"/>
      <c r="M10" s="435"/>
    </row>
    <row r="11" spans="1:13" s="53" customFormat="1" ht="12" x14ac:dyDescent="0.15">
      <c r="A11" s="434" t="s">
        <v>36</v>
      </c>
      <c r="B11" s="434"/>
      <c r="C11" s="434"/>
      <c r="D11" s="434"/>
      <c r="E11" s="434"/>
      <c r="F11" s="434"/>
      <c r="H11" s="438" t="s">
        <v>36</v>
      </c>
      <c r="I11" s="438"/>
      <c r="J11" s="438"/>
      <c r="K11" s="438"/>
      <c r="L11" s="438"/>
      <c r="M11" s="438"/>
    </row>
    <row r="12" spans="1:13" x14ac:dyDescent="0.15">
      <c r="A12" s="67" t="s">
        <v>41</v>
      </c>
      <c r="B12" s="68">
        <v>-0.25</v>
      </c>
      <c r="C12" s="68">
        <v>-0.1</v>
      </c>
      <c r="D12" s="69" t="s">
        <v>37</v>
      </c>
      <c r="E12" s="70" t="s">
        <v>38</v>
      </c>
      <c r="F12" s="70" t="s">
        <v>39</v>
      </c>
      <c r="H12" s="67" t="s">
        <v>41</v>
      </c>
      <c r="I12" s="71">
        <v>-0.25</v>
      </c>
      <c r="J12" s="71">
        <v>-0.1</v>
      </c>
      <c r="K12" s="72" t="s">
        <v>37</v>
      </c>
      <c r="L12" s="73" t="s">
        <v>38</v>
      </c>
      <c r="M12" s="73" t="s">
        <v>39</v>
      </c>
    </row>
    <row r="13" spans="1:13" x14ac:dyDescent="0.15">
      <c r="A13" s="74" t="s">
        <v>42</v>
      </c>
      <c r="B13" s="69">
        <f>0.75*D13</f>
        <v>63.75</v>
      </c>
      <c r="C13" s="69">
        <f>0.9*D13</f>
        <v>76.5</v>
      </c>
      <c r="D13" s="69">
        <f>D3</f>
        <v>85</v>
      </c>
      <c r="E13" s="69">
        <f>D13*1.1</f>
        <v>93.500000000000014</v>
      </c>
      <c r="F13" s="69">
        <f>D13*1.25</f>
        <v>106.25</v>
      </c>
      <c r="H13" s="74" t="s">
        <v>42</v>
      </c>
      <c r="I13" s="72">
        <f>0.75*K13</f>
        <v>562.5</v>
      </c>
      <c r="J13" s="72">
        <f>0.9*K13</f>
        <v>675</v>
      </c>
      <c r="K13" s="72">
        <f>B3</f>
        <v>750</v>
      </c>
      <c r="L13" s="72">
        <f>K13*1.1</f>
        <v>825.00000000000011</v>
      </c>
      <c r="M13" s="72">
        <f>K13*1.25</f>
        <v>937.5</v>
      </c>
    </row>
    <row r="14" spans="1:13" x14ac:dyDescent="0.15">
      <c r="A14" s="75">
        <f>Irrigated!A14</f>
        <v>3.36</v>
      </c>
      <c r="B14" s="76">
        <f>$A$14*B$13-$D$6</f>
        <v>-184.81172093749996</v>
      </c>
      <c r="C14" s="76">
        <f>$A$14*C$13-$D$6</f>
        <v>-141.97172093749998</v>
      </c>
      <c r="D14" s="76">
        <f>$A$14*D$13-$D$6</f>
        <v>-113.41172093749998</v>
      </c>
      <c r="E14" s="76">
        <f>$A$14*E$13-$D$6</f>
        <v>-84.85172093749992</v>
      </c>
      <c r="F14" s="76">
        <f>$A$14*F$13-$D$6</f>
        <v>-42.011720937499945</v>
      </c>
      <c r="H14" s="75">
        <f>Irrigated!H14</f>
        <v>0.47249999999999998</v>
      </c>
      <c r="I14" s="76">
        <f>$H$14*I$13-$B$6</f>
        <v>-248.07074289772731</v>
      </c>
      <c r="J14" s="76">
        <f>$H$14*J$13-$B$6</f>
        <v>-194.91449289772731</v>
      </c>
      <c r="K14" s="76">
        <f>$H$14*K$13-$B$6</f>
        <v>-159.47699289772731</v>
      </c>
      <c r="L14" s="76">
        <f>$H$14*L$13-$B$6</f>
        <v>-124.03949289772726</v>
      </c>
      <c r="M14" s="76">
        <f>$H$14*M$13-$B$6</f>
        <v>-70.883242897727314</v>
      </c>
    </row>
    <row r="15" spans="1:13" x14ac:dyDescent="0.15">
      <c r="A15" s="77">
        <f>Irrigated!A15</f>
        <v>4.08</v>
      </c>
      <c r="B15" s="78">
        <f>$A$15*B$13-$D$6</f>
        <v>-138.91172093749992</v>
      </c>
      <c r="C15" s="78">
        <f>$A$15*C$13-$D$6</f>
        <v>-86.89172093749994</v>
      </c>
      <c r="D15" s="78">
        <f>$A$15*D$13-$D$6</f>
        <v>-52.211720937499933</v>
      </c>
      <c r="E15" s="78">
        <f>$A$15*E$13-$D$6</f>
        <v>-17.53172093749987</v>
      </c>
      <c r="F15" s="78">
        <f>$A$15*F$13-$D$6</f>
        <v>34.488279062500055</v>
      </c>
      <c r="H15" s="77">
        <f>Irrigated!H15</f>
        <v>0.57374999999999998</v>
      </c>
      <c r="I15" s="78">
        <f>$H$15*I$13-$B$6</f>
        <v>-191.11761789772731</v>
      </c>
      <c r="J15" s="78">
        <f>$H$15*J$13-$B$6</f>
        <v>-126.57074289772731</v>
      </c>
      <c r="K15" s="78">
        <f>$H$15*K$13-$B$6</f>
        <v>-83.539492897727314</v>
      </c>
      <c r="L15" s="78">
        <f>$H$15*L$13-$B$6</f>
        <v>-40.508242897727257</v>
      </c>
      <c r="M15" s="78">
        <f>$H$15*M$13-$B$6</f>
        <v>24.038632102272686</v>
      </c>
    </row>
    <row r="16" spans="1:13" x14ac:dyDescent="0.15">
      <c r="A16" s="77">
        <f>Irrigated!A16</f>
        <v>4.8</v>
      </c>
      <c r="B16" s="78">
        <f>$A$16*B$13-$D$6</f>
        <v>-93.011720937499945</v>
      </c>
      <c r="C16" s="78">
        <f>$A$16*C$13-$D$6</f>
        <v>-31.811720937499956</v>
      </c>
      <c r="D16" s="78">
        <f>$A$16*D$13-$D$6</f>
        <v>8.9882790625000553</v>
      </c>
      <c r="E16" s="78">
        <f>$A$16*E$13-$D$6</f>
        <v>49.788279062500123</v>
      </c>
      <c r="F16" s="78">
        <f>$A$16*F$13-$D$6</f>
        <v>110.98827906250006</v>
      </c>
      <c r="H16" s="77">
        <f>Irrigated!H16</f>
        <v>0.67500000000000004</v>
      </c>
      <c r="I16" s="78">
        <f>$H$16*I$13-$B$6</f>
        <v>-134.16449289772731</v>
      </c>
      <c r="J16" s="78">
        <f>$H$16*J$13-$B$6</f>
        <v>-58.226992897727257</v>
      </c>
      <c r="K16" s="78">
        <f>$H$16*K$13-$B$6</f>
        <v>-7.6019928977272571</v>
      </c>
      <c r="L16" s="78">
        <f>$H$16*L$13-$B$6</f>
        <v>43.0230071022728</v>
      </c>
      <c r="M16" s="78">
        <f>$H$16*M$13-$B$6</f>
        <v>118.96050710227269</v>
      </c>
    </row>
    <row r="17" spans="1:13" x14ac:dyDescent="0.15">
      <c r="A17" s="77">
        <f>Irrigated!A17</f>
        <v>5.52</v>
      </c>
      <c r="B17" s="78">
        <f>$A$17*B$13-$D$6</f>
        <v>-47.111720937499967</v>
      </c>
      <c r="C17" s="78">
        <f>$A$17*C$13-$D$6</f>
        <v>23.268279062500028</v>
      </c>
      <c r="D17" s="78">
        <f>$A$17*D$13-$D$6</f>
        <v>70.188279062500044</v>
      </c>
      <c r="E17" s="78">
        <f>$A$17*E$13-$D$6</f>
        <v>117.10827906250006</v>
      </c>
      <c r="F17" s="78">
        <f>$A$17*F$13-$D$6</f>
        <v>187.48827906250006</v>
      </c>
      <c r="H17" s="77">
        <f>Irrigated!H17</f>
        <v>0.77625</v>
      </c>
      <c r="I17" s="78">
        <f>$H$17*I$13-$B$6</f>
        <v>-77.211367897727314</v>
      </c>
      <c r="J17" s="78">
        <f>$H$17*J$13-$B$6</f>
        <v>10.116757102272686</v>
      </c>
      <c r="K17" s="78">
        <f>$H$17*K$13-$B$6</f>
        <v>68.335507102272686</v>
      </c>
      <c r="L17" s="78">
        <f>$H$17*L$13-$B$6</f>
        <v>126.5542571022728</v>
      </c>
      <c r="M17" s="78">
        <f>$H$17*M$13-$B$6</f>
        <v>213.88238210227269</v>
      </c>
    </row>
    <row r="18" spans="1:13" x14ac:dyDescent="0.15">
      <c r="A18" s="79">
        <f>Irrigated!A18</f>
        <v>6.24</v>
      </c>
      <c r="B18" s="80">
        <f>$A$18*B$13-$D$6</f>
        <v>-1.2117209374999334</v>
      </c>
      <c r="C18" s="80">
        <f>$A$18*C$13-$D$6</f>
        <v>78.348279062500069</v>
      </c>
      <c r="D18" s="80">
        <f>$A$18*D$13-$D$6</f>
        <v>131.38827906250003</v>
      </c>
      <c r="E18" s="80">
        <f>$A$18*E$13-$D$6</f>
        <v>184.42827906250011</v>
      </c>
      <c r="F18" s="80">
        <f>$A$18*F$13-$D$6</f>
        <v>263.98827906250006</v>
      </c>
      <c r="H18" s="79">
        <f>Irrigated!H18</f>
        <v>0.87750000000000006</v>
      </c>
      <c r="I18" s="80">
        <f>$H$18*I$13-$B$6</f>
        <v>-20.258242897727257</v>
      </c>
      <c r="J18" s="80">
        <f>$H$18*J$13-$B$6</f>
        <v>78.460507102272686</v>
      </c>
      <c r="K18" s="80">
        <f>$H$18*K$13-$B$6</f>
        <v>144.27300710227269</v>
      </c>
      <c r="L18" s="80">
        <f>$H$18*L$13-$B$6</f>
        <v>210.0855071022728</v>
      </c>
      <c r="M18" s="80">
        <f>$H$18*M$13-$B$6</f>
        <v>308.80425710227269</v>
      </c>
    </row>
    <row r="20" spans="1:13" x14ac:dyDescent="0.15">
      <c r="A20" s="435" t="s">
        <v>54</v>
      </c>
      <c r="B20" s="435"/>
      <c r="C20" s="435"/>
      <c r="D20" s="435"/>
      <c r="E20" s="435"/>
      <c r="F20" s="435"/>
      <c r="H20" s="436" t="s">
        <v>121</v>
      </c>
      <c r="I20" s="436"/>
      <c r="J20" s="436"/>
      <c r="K20" s="436"/>
      <c r="L20" s="436"/>
      <c r="M20" s="436"/>
    </row>
    <row r="21" spans="1:13" s="53" customFormat="1" ht="12" x14ac:dyDescent="0.15">
      <c r="A21" s="434" t="s">
        <v>36</v>
      </c>
      <c r="B21" s="434"/>
      <c r="C21" s="434"/>
      <c r="D21" s="434"/>
      <c r="E21" s="434"/>
      <c r="F21" s="434"/>
      <c r="H21" s="437" t="s">
        <v>36</v>
      </c>
      <c r="I21" s="437"/>
      <c r="J21" s="437"/>
      <c r="K21" s="437"/>
      <c r="L21" s="437"/>
      <c r="M21" s="437"/>
    </row>
    <row r="22" spans="1:13" x14ac:dyDescent="0.15">
      <c r="A22" s="67" t="s">
        <v>41</v>
      </c>
      <c r="B22" s="68">
        <v>-0.25</v>
      </c>
      <c r="C22" s="68">
        <v>-0.1</v>
      </c>
      <c r="D22" s="69" t="s">
        <v>37</v>
      </c>
      <c r="E22" s="70" t="s">
        <v>38</v>
      </c>
      <c r="F22" s="70" t="s">
        <v>39</v>
      </c>
      <c r="H22" s="67" t="s">
        <v>41</v>
      </c>
      <c r="I22" s="68">
        <v>-0.25</v>
      </c>
      <c r="J22" s="68">
        <v>-0.1</v>
      </c>
      <c r="K22" s="69" t="s">
        <v>37</v>
      </c>
      <c r="L22" s="70" t="s">
        <v>38</v>
      </c>
      <c r="M22" s="70" t="s">
        <v>39</v>
      </c>
    </row>
    <row r="23" spans="1:13" x14ac:dyDescent="0.15">
      <c r="A23" s="74" t="s">
        <v>42</v>
      </c>
      <c r="B23" s="69">
        <f>0.75*D23</f>
        <v>48.75</v>
      </c>
      <c r="C23" s="69">
        <f>0.9*D23</f>
        <v>58.5</v>
      </c>
      <c r="D23" s="69">
        <f>F3</f>
        <v>65</v>
      </c>
      <c r="E23" s="69">
        <f>D23*1.1</f>
        <v>71.5</v>
      </c>
      <c r="F23" s="69">
        <f>D23*1.25</f>
        <v>81.25</v>
      </c>
      <c r="H23" s="74" t="s">
        <v>42</v>
      </c>
      <c r="I23" s="69">
        <f>0.75*K23</f>
        <v>2550</v>
      </c>
      <c r="J23" s="69">
        <f>0.9*K23</f>
        <v>3060</v>
      </c>
      <c r="K23" s="69">
        <f>C3</f>
        <v>3400</v>
      </c>
      <c r="L23" s="69">
        <f>K23*1.1</f>
        <v>3740.0000000000005</v>
      </c>
      <c r="M23" s="69">
        <f>K23*1.25</f>
        <v>4250</v>
      </c>
    </row>
    <row r="24" spans="1:13" x14ac:dyDescent="0.15">
      <c r="A24" s="75">
        <f>Irrigated!A24</f>
        <v>3.3431999999999995</v>
      </c>
      <c r="B24" s="76">
        <f>$A$24*B$23-$F$6</f>
        <v>-130.89645687499998</v>
      </c>
      <c r="C24" s="76">
        <f>$A$24*C$23-$F$6</f>
        <v>-98.300256874999974</v>
      </c>
      <c r="D24" s="76">
        <f>$A$24*D$23-$F$6</f>
        <v>-76.569456874999986</v>
      </c>
      <c r="E24" s="76">
        <f>$A$24*E$23-$F$6</f>
        <v>-54.838656874999998</v>
      </c>
      <c r="F24" s="76">
        <f>$A$24*F$23-$F$6</f>
        <v>-22.242456875000016</v>
      </c>
      <c r="H24" s="81">
        <f>Irrigated!H24</f>
        <v>280</v>
      </c>
      <c r="I24" s="76">
        <f>$H$24*I$23/2000-$C$6</f>
        <v>-314.73656249999999</v>
      </c>
      <c r="J24" s="76">
        <f>$H$24*J$23/2000-$C$6</f>
        <v>-243.33656250000001</v>
      </c>
      <c r="K24" s="76">
        <f>$H$24*K$23/2000-$C$6</f>
        <v>-195.73656249999999</v>
      </c>
      <c r="L24" s="76">
        <f>$H$24*L$23/2000-$C$6</f>
        <v>-148.13656249999997</v>
      </c>
      <c r="M24" s="76">
        <f>$H$24*M$23/2000-$C$6</f>
        <v>-76.736562499999991</v>
      </c>
    </row>
    <row r="25" spans="1:13" x14ac:dyDescent="0.15">
      <c r="A25" s="77">
        <f>Irrigated!A25</f>
        <v>4.0595999999999997</v>
      </c>
      <c r="B25" s="78">
        <f>$A$25*B$23-$F$6</f>
        <v>-95.971956874999961</v>
      </c>
      <c r="C25" s="78">
        <f>$A$25*C$23-$F$6</f>
        <v>-56.390856874999969</v>
      </c>
      <c r="D25" s="78">
        <f>$A$25*D$23-$F$6</f>
        <v>-30.003456874999983</v>
      </c>
      <c r="E25" s="78">
        <f>$A$25*E$23-$F$6</f>
        <v>-3.6160568749999698</v>
      </c>
      <c r="F25" s="78">
        <f>$A$25*F$23-$F$6</f>
        <v>35.965043125000022</v>
      </c>
      <c r="H25" s="82">
        <f>Irrigated!H25</f>
        <v>340</v>
      </c>
      <c r="I25" s="78">
        <f>$H$25*I$23/2000-$C$6</f>
        <v>-238.23656249999999</v>
      </c>
      <c r="J25" s="78">
        <f>$H$25*J$23/2000-$C$6</f>
        <v>-151.53656249999995</v>
      </c>
      <c r="K25" s="78">
        <f>$H$25*K$23/2000-$C$6</f>
        <v>-93.736562499999991</v>
      </c>
      <c r="L25" s="78">
        <f>$H$25*L$23/2000-$C$6</f>
        <v>-35.936562499999923</v>
      </c>
      <c r="M25" s="78">
        <f>$H$25*M$23/2000-$C$6</f>
        <v>50.763437500000009</v>
      </c>
    </row>
    <row r="26" spans="1:13" x14ac:dyDescent="0.15">
      <c r="A26" s="77">
        <f>Irrigated!A26</f>
        <v>4.7759999999999998</v>
      </c>
      <c r="B26" s="78">
        <f>$A$26*B$23-$F$6</f>
        <v>-61.047456874999966</v>
      </c>
      <c r="C26" s="78">
        <f>$A$26*C$23-$F$6</f>
        <v>-14.481456874999935</v>
      </c>
      <c r="D26" s="78">
        <f>$A$26*D$23-$F$6</f>
        <v>16.562543125000047</v>
      </c>
      <c r="E26" s="78">
        <f>$A$26*E$23-$F$6</f>
        <v>47.60654312500003</v>
      </c>
      <c r="F26" s="78">
        <f>$A$26*F$23-$F$6</f>
        <v>94.172543125000061</v>
      </c>
      <c r="H26" s="82">
        <f>Irrigated!H26</f>
        <v>400</v>
      </c>
      <c r="I26" s="78">
        <f>$H$26*I$23/2000-$C$6</f>
        <v>-161.73656249999999</v>
      </c>
      <c r="J26" s="78">
        <f>$H$26*J$23/2000-$C$6</f>
        <v>-59.736562499999991</v>
      </c>
      <c r="K26" s="78">
        <f>$H$26*K$23/2000-$C$6</f>
        <v>8.2634375000000091</v>
      </c>
      <c r="L26" s="78">
        <f>$H$26*L$23/2000-$C$6</f>
        <v>76.263437500000123</v>
      </c>
      <c r="M26" s="78">
        <f>$H$26*M$23/2000-$C$6</f>
        <v>178.26343750000001</v>
      </c>
    </row>
    <row r="27" spans="1:13" x14ac:dyDescent="0.15">
      <c r="A27" s="77">
        <f>Irrigated!A27</f>
        <v>5.4923999999999991</v>
      </c>
      <c r="B27" s="78">
        <f>$A$27*B$23-$F$6</f>
        <v>-26.122956875</v>
      </c>
      <c r="C27" s="78">
        <f>$A$27*C$23-$F$6</f>
        <v>27.427943125000013</v>
      </c>
      <c r="D27" s="78">
        <f>$A$27*D$23-$F$6</f>
        <v>63.128543124999965</v>
      </c>
      <c r="E27" s="78">
        <f>$A$27*E$23-$F$6</f>
        <v>98.829143124999973</v>
      </c>
      <c r="F27" s="78">
        <f>$A$27*F$23-$F$6</f>
        <v>152.38004312499999</v>
      </c>
      <c r="H27" s="82">
        <f>Irrigated!H27</f>
        <v>459.99999999999994</v>
      </c>
      <c r="I27" s="78">
        <f>$H$27*I$23/2000-$C$6</f>
        <v>-85.236562500000105</v>
      </c>
      <c r="J27" s="78">
        <f>$H$27*J$23/2000-$C$6</f>
        <v>32.06343749999985</v>
      </c>
      <c r="K27" s="78">
        <f>$H$27*K$23/2000-$C$6</f>
        <v>110.2634374999999</v>
      </c>
      <c r="L27" s="78">
        <f>$H$27*L$23/2000-$C$6</f>
        <v>188.46343750000005</v>
      </c>
      <c r="M27" s="78">
        <f>$H$27*M$23/2000-$C$6</f>
        <v>305.7634374999999</v>
      </c>
    </row>
    <row r="28" spans="1:13" x14ac:dyDescent="0.15">
      <c r="A28" s="79">
        <f>Irrigated!A28</f>
        <v>6.2088000000000001</v>
      </c>
      <c r="B28" s="80">
        <f>$A$28*B$23-$F$6</f>
        <v>8.8015431250000802</v>
      </c>
      <c r="C28" s="80">
        <f>$A$28*C$23-$F$6</f>
        <v>69.337343125000075</v>
      </c>
      <c r="D28" s="80">
        <f>$A$28*D$23-$F$6</f>
        <v>109.69454312500005</v>
      </c>
      <c r="E28" s="80">
        <f>$A$28*E$23-$F$6</f>
        <v>150.05174312500003</v>
      </c>
      <c r="F28" s="80">
        <f>$A$28*F$23-$F$6</f>
        <v>210.58754312500008</v>
      </c>
      <c r="H28" s="83">
        <f>Irrigated!H28</f>
        <v>520</v>
      </c>
      <c r="I28" s="80">
        <f>$H$28*I$23/2000-$C$6</f>
        <v>-8.7365624999999909</v>
      </c>
      <c r="J28" s="80">
        <f>$H$28*J$23/2000-$C$6</f>
        <v>123.86343750000003</v>
      </c>
      <c r="K28" s="80">
        <f>$H$28*K$23/2000-$C$6</f>
        <v>212.26343750000001</v>
      </c>
      <c r="L28" s="80">
        <f>$H$28*L$23/2000-$C$6</f>
        <v>300.6634375000001</v>
      </c>
      <c r="M28" s="80">
        <f>$H$28*M$23/2000-$C$6</f>
        <v>433.26343750000001</v>
      </c>
    </row>
    <row r="30" spans="1:13" x14ac:dyDescent="0.15">
      <c r="A30" s="435" t="s">
        <v>53</v>
      </c>
      <c r="B30" s="435"/>
      <c r="C30" s="435"/>
      <c r="D30" s="435"/>
      <c r="E30" s="435"/>
      <c r="F30" s="435"/>
      <c r="H30" s="435" t="s">
        <v>63</v>
      </c>
      <c r="I30" s="435"/>
      <c r="J30" s="435"/>
      <c r="K30" s="435"/>
      <c r="L30" s="435"/>
      <c r="M30" s="435"/>
    </row>
    <row r="31" spans="1:13" s="53" customFormat="1" ht="12" x14ac:dyDescent="0.15">
      <c r="A31" s="434" t="s">
        <v>36</v>
      </c>
      <c r="B31" s="434"/>
      <c r="C31" s="434"/>
      <c r="D31" s="434"/>
      <c r="E31" s="434"/>
      <c r="F31" s="434"/>
      <c r="H31" s="434" t="s">
        <v>36</v>
      </c>
      <c r="I31" s="434"/>
      <c r="J31" s="434"/>
      <c r="K31" s="434"/>
      <c r="L31" s="434"/>
      <c r="M31" s="434"/>
    </row>
    <row r="32" spans="1:13" x14ac:dyDescent="0.15">
      <c r="A32" s="67" t="s">
        <v>41</v>
      </c>
      <c r="B32" s="68">
        <v>-0.25</v>
      </c>
      <c r="C32" s="68">
        <v>-0.1</v>
      </c>
      <c r="D32" s="69" t="s">
        <v>37</v>
      </c>
      <c r="E32" s="70" t="s">
        <v>38</v>
      </c>
      <c r="F32" s="70" t="s">
        <v>39</v>
      </c>
      <c r="H32" s="67" t="s">
        <v>41</v>
      </c>
      <c r="I32" s="68">
        <v>-0.25</v>
      </c>
      <c r="J32" s="68">
        <v>-0.1</v>
      </c>
      <c r="K32" s="69" t="s">
        <v>37</v>
      </c>
      <c r="L32" s="70" t="s">
        <v>38</v>
      </c>
      <c r="M32" s="70" t="s">
        <v>39</v>
      </c>
    </row>
    <row r="33" spans="1:13" x14ac:dyDescent="0.15">
      <c r="A33" s="74" t="s">
        <v>42</v>
      </c>
      <c r="B33" s="69">
        <f>0.75*D33</f>
        <v>22.5</v>
      </c>
      <c r="C33" s="69">
        <f>0.9*D33</f>
        <v>27</v>
      </c>
      <c r="D33" s="69">
        <f>E3</f>
        <v>30</v>
      </c>
      <c r="E33" s="69">
        <f>D33*1.1</f>
        <v>33</v>
      </c>
      <c r="F33" s="69">
        <f>D33*1.25</f>
        <v>37.5</v>
      </c>
      <c r="H33" s="74" t="s">
        <v>42</v>
      </c>
      <c r="I33" s="69">
        <f>0.75*K33</f>
        <v>41.25</v>
      </c>
      <c r="J33" s="69">
        <f>0.9*K33</f>
        <v>49.5</v>
      </c>
      <c r="K33" s="69">
        <f>G3</f>
        <v>55</v>
      </c>
      <c r="L33" s="69">
        <f>K33*1.1</f>
        <v>60.500000000000007</v>
      </c>
      <c r="M33" s="69">
        <f>K33*1.25</f>
        <v>68.75</v>
      </c>
    </row>
    <row r="34" spans="1:13" x14ac:dyDescent="0.15">
      <c r="A34" s="75">
        <f>Irrigated!A34</f>
        <v>6.6499999999999995</v>
      </c>
      <c r="B34" s="76">
        <f>$A$34*B$33-$E$6</f>
        <v>-148.02464999999995</v>
      </c>
      <c r="C34" s="76">
        <f>$A$34*C$33-$E$6</f>
        <v>-118.09964999999997</v>
      </c>
      <c r="D34" s="76">
        <f>$A$34*D$33-$E$6</f>
        <v>-98.14964999999998</v>
      </c>
      <c r="E34" s="76">
        <f>$A$34*E$33-$E$6</f>
        <v>-78.199649999999963</v>
      </c>
      <c r="F34" s="76">
        <f>$A$34*F$33-$E$6</f>
        <v>-48.27464999999998</v>
      </c>
      <c r="H34" s="75">
        <f>Irrigated!H34</f>
        <v>3.8499999999999996</v>
      </c>
      <c r="I34" s="76">
        <f>$H$34*I$33-$G$6</f>
        <v>-164.199719375</v>
      </c>
      <c r="J34" s="76">
        <f>$H$34*J$33-$G$6</f>
        <v>-132.43721937499998</v>
      </c>
      <c r="K34" s="76">
        <f>$H$34*K$33-$G$6</f>
        <v>-111.262219375</v>
      </c>
      <c r="L34" s="76">
        <f>$H$34*L$33-$G$6</f>
        <v>-90.087219374999961</v>
      </c>
      <c r="M34" s="76">
        <f>$H$34*M$33-$G$6</f>
        <v>-58.324719374999972</v>
      </c>
    </row>
    <row r="35" spans="1:13" x14ac:dyDescent="0.15">
      <c r="A35" s="77">
        <f>Irrigated!A35</f>
        <v>8.0749999999999993</v>
      </c>
      <c r="B35" s="78">
        <f>$A$35*B$33-$E$6</f>
        <v>-115.96214999999998</v>
      </c>
      <c r="C35" s="78">
        <f>$A$35*C$33-$E$6</f>
        <v>-79.624649999999974</v>
      </c>
      <c r="D35" s="78">
        <f>$A$35*D$33-$E$6</f>
        <v>-55.39964999999998</v>
      </c>
      <c r="E35" s="78">
        <f>$A$35*E$33-$E$6</f>
        <v>-31.174649999999986</v>
      </c>
      <c r="F35" s="78">
        <f>$A$35*F$33-$E$6</f>
        <v>5.1628500000000486</v>
      </c>
      <c r="H35" s="77">
        <f>Irrigated!H35</f>
        <v>4.6749999999999998</v>
      </c>
      <c r="I35" s="78">
        <f>$H$35*I$33-$G$6</f>
        <v>-130.16846937499997</v>
      </c>
      <c r="J35" s="78">
        <f>$H$35*J$33-$G$6</f>
        <v>-91.599719374999978</v>
      </c>
      <c r="K35" s="78">
        <f>$H$35*K$33-$G$6</f>
        <v>-65.887219374999972</v>
      </c>
      <c r="L35" s="78">
        <f>$H$35*L$33-$G$6</f>
        <v>-40.174719374999938</v>
      </c>
      <c r="M35" s="78">
        <f>$H$35*M$33-$G$6</f>
        <v>-1.6059693749999724</v>
      </c>
    </row>
    <row r="36" spans="1:13" x14ac:dyDescent="0.15">
      <c r="A36" s="77">
        <f>Irrigated!A36</f>
        <v>9.5</v>
      </c>
      <c r="B36" s="78">
        <f>$A$36*B$33-$E$6</f>
        <v>-83.899649999999951</v>
      </c>
      <c r="C36" s="78">
        <f>$A$36*C$33-$E$6</f>
        <v>-41.149649999999951</v>
      </c>
      <c r="D36" s="78">
        <f>$A$36*D$33-$E$6</f>
        <v>-12.649649999999951</v>
      </c>
      <c r="E36" s="78">
        <f>$A$36*E$33-$E$6</f>
        <v>15.850350000000049</v>
      </c>
      <c r="F36" s="78">
        <f>$A$36*F$33-$E$6</f>
        <v>58.600350000000049</v>
      </c>
      <c r="H36" s="77">
        <f>Irrigated!H36</f>
        <v>5.5</v>
      </c>
      <c r="I36" s="78">
        <f>$H$36*I$33-$G$6</f>
        <v>-96.137219374999972</v>
      </c>
      <c r="J36" s="78">
        <f>$H$36*J$33-$G$6</f>
        <v>-50.762219374999972</v>
      </c>
      <c r="K36" s="78">
        <f>$H$36*K$33-$G$6</f>
        <v>-20.512219374999972</v>
      </c>
      <c r="L36" s="78">
        <f>$H$36*L$33-$G$6</f>
        <v>9.7377806250000845</v>
      </c>
      <c r="M36" s="78">
        <f>$H$36*M$33-$G$6</f>
        <v>55.112780625000028</v>
      </c>
    </row>
    <row r="37" spans="1:13" x14ac:dyDescent="0.15">
      <c r="A37" s="77">
        <f>Irrigated!A37</f>
        <v>10.924999999999999</v>
      </c>
      <c r="B37" s="78">
        <f>$A$37*B$33-$E$6</f>
        <v>-51.83714999999998</v>
      </c>
      <c r="C37" s="78">
        <f>$A$37*C$33-$E$6</f>
        <v>-2.6746499999999855</v>
      </c>
      <c r="D37" s="78">
        <f>$A$37*D$33-$E$6</f>
        <v>30.100349999999992</v>
      </c>
      <c r="E37" s="78">
        <f>$A$37*E$33-$E$6</f>
        <v>62.875350000000026</v>
      </c>
      <c r="F37" s="78">
        <f>$A$37*F$33-$E$6</f>
        <v>112.03784999999999</v>
      </c>
      <c r="H37" s="77">
        <f>Irrigated!H37</f>
        <v>6.3249999999999993</v>
      </c>
      <c r="I37" s="78">
        <f>$H$37*I$33-$G$6</f>
        <v>-62.105969375000029</v>
      </c>
      <c r="J37" s="78">
        <f>$H$37*J$33-$G$6</f>
        <v>-9.9247193749999951</v>
      </c>
      <c r="K37" s="78">
        <f>$H$37*K$33-$G$6</f>
        <v>24.862780624999971</v>
      </c>
      <c r="L37" s="78">
        <f>$H$37*L$33-$G$6</f>
        <v>59.65028062500005</v>
      </c>
      <c r="M37" s="78">
        <f>$H$37*M$33-$G$6</f>
        <v>111.83153062499997</v>
      </c>
    </row>
    <row r="38" spans="1:13" x14ac:dyDescent="0.15">
      <c r="A38" s="79">
        <f>Irrigated!A38</f>
        <v>12.35</v>
      </c>
      <c r="B38" s="80">
        <f>$A$38*B$33-$E$6</f>
        <v>-19.774649999999951</v>
      </c>
      <c r="C38" s="80">
        <f>$A$38*C$33-$E$6</f>
        <v>35.800350000000037</v>
      </c>
      <c r="D38" s="80">
        <f>$A$38*D$33-$E$6</f>
        <v>72.850350000000049</v>
      </c>
      <c r="E38" s="80">
        <f>$A$38*E$33-$E$6</f>
        <v>109.90035000000006</v>
      </c>
      <c r="F38" s="80">
        <f>$A$38*F$33-$E$6</f>
        <v>165.47535000000005</v>
      </c>
      <c r="H38" s="79">
        <f>Irrigated!H38</f>
        <v>7.15</v>
      </c>
      <c r="I38" s="80">
        <f>$H$38*I$33-$G$6</f>
        <v>-28.074719374999972</v>
      </c>
      <c r="J38" s="80">
        <f>$H$38*J$33-$G$6</f>
        <v>30.912780625000039</v>
      </c>
      <c r="K38" s="80">
        <f>$H$38*K$33-$G$6</f>
        <v>70.237780625000028</v>
      </c>
      <c r="L38" s="80">
        <f>$H$38*L$33-$G$6</f>
        <v>109.56278062500007</v>
      </c>
      <c r="M38" s="80">
        <f>$H$38*M$33-$G$6</f>
        <v>168.55028062500003</v>
      </c>
    </row>
    <row r="39" spans="1:13" s="53" customFormat="1" ht="12" x14ac:dyDescent="0.15"/>
    <row r="49" s="53" customFormat="1" ht="12" x14ac:dyDescent="0.15"/>
    <row r="59" s="53" customFormat="1" ht="12" x14ac:dyDescent="0.15"/>
  </sheetData>
  <sheetProtection sheet="1" objects="1" scenarios="1"/>
  <mergeCells count="15">
    <mergeCell ref="A10:F10"/>
    <mergeCell ref="A11:F11"/>
    <mergeCell ref="B1:G1"/>
    <mergeCell ref="A7:M7"/>
    <mergeCell ref="H10:M10"/>
    <mergeCell ref="H11:M11"/>
    <mergeCell ref="A9:M9"/>
    <mergeCell ref="H31:M31"/>
    <mergeCell ref="A30:F30"/>
    <mergeCell ref="A31:F31"/>
    <mergeCell ref="A20:F20"/>
    <mergeCell ref="A21:F21"/>
    <mergeCell ref="H20:M20"/>
    <mergeCell ref="H21:M21"/>
    <mergeCell ref="H30:M30"/>
  </mergeCells>
  <phoneticPr fontId="2" type="noConversion"/>
  <conditionalFormatting sqref="B14:F18 I14:M18 B24:F28 I24:M28 B34:F38 I34:M38">
    <cfRule type="cellIs" dxfId="2" priority="1" stopIfTrue="1" operator="greaterThanOrEqual">
      <formula>0</formula>
    </cfRule>
  </conditionalFormatting>
  <printOptions horizontalCentered="1" verticalCentered="1"/>
  <pageMargins left="0.5" right="0.5" top="0.5" bottom="0.5" header="0.5" footer="0.5"/>
  <pageSetup orientation="landscape" horizontalDpi="300" verticalDpi="300"/>
  <headerFooter alignWithMargins="0">
    <oddFooter>&amp;L&amp;G</oddFooter>
  </headerFooter>
  <ignoredErrors>
    <ignoredError sqref="A29:F29 A19:F19 A57:F57 A47:F47" numberStoredAsText="1"/>
  </ignoredErrors>
  <legacyDrawingHF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M59"/>
  <sheetViews>
    <sheetView topLeftCell="A7" workbookViewId="0">
      <selection sqref="A1:I1"/>
    </sheetView>
  </sheetViews>
  <sheetFormatPr baseColWidth="10" defaultColWidth="9.6640625" defaultRowHeight="13" x14ac:dyDescent="0.15"/>
  <cols>
    <col min="1" max="13" width="9.33203125" style="66" customWidth="1"/>
    <col min="14" max="14" width="6.5" style="66" bestFit="1" customWidth="1"/>
    <col min="15" max="16384" width="9.6640625" style="66"/>
  </cols>
  <sheetData>
    <row r="1" spans="1:13" s="53" customFormat="1" ht="12" hidden="1" x14ac:dyDescent="0.15">
      <c r="A1" s="52"/>
      <c r="B1" s="443" t="s">
        <v>45</v>
      </c>
      <c r="C1" s="443"/>
      <c r="D1" s="443"/>
      <c r="E1" s="443"/>
      <c r="F1" s="443"/>
      <c r="G1" s="52"/>
    </row>
    <row r="2" spans="1:13" s="53" customFormat="1" ht="12" hidden="1" x14ac:dyDescent="0.15">
      <c r="A2" s="54" t="s">
        <v>40</v>
      </c>
      <c r="B2" s="55" t="str">
        <f>Conventional!B6</f>
        <v>Cotton</v>
      </c>
      <c r="C2" s="55" t="str">
        <f>Conventional!D6</f>
        <v>Peanuts</v>
      </c>
      <c r="D2" s="55" t="str">
        <f>Conventional!F6</f>
        <v>Corn</v>
      </c>
      <c r="E2" s="55" t="str">
        <f>Conventional!H6</f>
        <v>Soybeans</v>
      </c>
      <c r="F2" s="55" t="str">
        <f>Conventional!J6</f>
        <v>Sorghum</v>
      </c>
    </row>
    <row r="3" spans="1:13" s="53" customFormat="1" ht="12" hidden="1" x14ac:dyDescent="0.15">
      <c r="A3" s="54" t="s">
        <v>41</v>
      </c>
      <c r="B3" s="56">
        <f>'Strip-Till'!B7</f>
        <v>1200</v>
      </c>
      <c r="C3" s="56">
        <f>'Strip-Till'!D7</f>
        <v>4700</v>
      </c>
      <c r="D3" s="56">
        <f>'Strip-Till'!F7</f>
        <v>200</v>
      </c>
      <c r="E3" s="56">
        <f>'Strip-Till'!H7</f>
        <v>60</v>
      </c>
      <c r="F3" s="56">
        <f>'Strip-Till'!J7</f>
        <v>100</v>
      </c>
    </row>
    <row r="4" spans="1:13" s="53" customFormat="1" ht="12" hidden="1" x14ac:dyDescent="0.15">
      <c r="A4" s="53" t="s">
        <v>42</v>
      </c>
      <c r="B4" s="58">
        <f>'Strip-Till'!B8</f>
        <v>0.67500000000000004</v>
      </c>
      <c r="C4" s="59">
        <f>'Strip-Till'!D8</f>
        <v>400</v>
      </c>
      <c r="D4" s="60">
        <f>'Strip-Till'!F8</f>
        <v>4.8</v>
      </c>
      <c r="E4" s="60">
        <f>'Strip-Till'!H8</f>
        <v>9.5</v>
      </c>
      <c r="F4" s="60">
        <f>'Strip-Till'!J8</f>
        <v>4.7759999999999998</v>
      </c>
      <c r="G4" s="60"/>
    </row>
    <row r="5" spans="1:13" s="53" customFormat="1" ht="12" hidden="1" x14ac:dyDescent="0.15">
      <c r="A5" s="61" t="s">
        <v>44</v>
      </c>
      <c r="B5" s="62">
        <f>B3*B4</f>
        <v>810</v>
      </c>
      <c r="C5" s="62">
        <f>C3*C4/2000</f>
        <v>940</v>
      </c>
      <c r="D5" s="62">
        <f>D3*D4</f>
        <v>960</v>
      </c>
      <c r="E5" s="62">
        <f>E3*E4</f>
        <v>570</v>
      </c>
      <c r="F5" s="62">
        <f>F3*F4</f>
        <v>477.59999999999997</v>
      </c>
      <c r="G5" s="63"/>
    </row>
    <row r="6" spans="1:13" s="53" customFormat="1" ht="12" hidden="1" x14ac:dyDescent="0.15">
      <c r="A6" s="61" t="s">
        <v>43</v>
      </c>
      <c r="B6" s="64">
        <f>'Strip-Till'!B31</f>
        <v>654.75218863636371</v>
      </c>
      <c r="C6" s="64">
        <f>'Strip-Till'!D31</f>
        <v>702.14913750000005</v>
      </c>
      <c r="D6" s="64">
        <f>'Strip-Till'!F31</f>
        <v>751.87475000000006</v>
      </c>
      <c r="E6" s="64">
        <f>'Strip-Till'!H31</f>
        <v>336.07063124999991</v>
      </c>
      <c r="F6" s="64">
        <f>'Strip-Till'!J31</f>
        <v>412.68562500000002</v>
      </c>
      <c r="G6" s="59"/>
    </row>
    <row r="7" spans="1:13" s="53" customFormat="1" ht="16" x14ac:dyDescent="0.2">
      <c r="A7" s="442" t="s">
        <v>129</v>
      </c>
      <c r="B7" s="442"/>
      <c r="C7" s="442"/>
      <c r="D7" s="442"/>
      <c r="E7" s="442"/>
      <c r="F7" s="442"/>
      <c r="G7" s="442"/>
      <c r="H7" s="442"/>
      <c r="I7" s="442"/>
      <c r="J7" s="442"/>
      <c r="K7" s="442"/>
      <c r="L7" s="442"/>
      <c r="M7" s="442"/>
    </row>
    <row r="8" spans="1:13" s="53" customFormat="1" ht="16" x14ac:dyDescent="0.2">
      <c r="A8" s="51" t="s">
        <v>35</v>
      </c>
      <c r="B8" s="65"/>
      <c r="C8" s="65"/>
      <c r="D8" s="65"/>
      <c r="E8" s="65"/>
      <c r="F8" s="65"/>
      <c r="G8" s="65"/>
      <c r="H8" s="65"/>
      <c r="I8" s="65"/>
      <c r="J8" s="65"/>
      <c r="K8" s="65"/>
      <c r="L8" s="65"/>
      <c r="M8" s="65"/>
    </row>
    <row r="9" spans="1:13" x14ac:dyDescent="0.15">
      <c r="A9" s="441" t="s">
        <v>153</v>
      </c>
      <c r="B9" s="441"/>
      <c r="C9" s="441"/>
      <c r="D9" s="441"/>
      <c r="E9" s="441"/>
      <c r="F9" s="441"/>
      <c r="G9" s="441"/>
      <c r="H9" s="441"/>
      <c r="I9" s="441"/>
      <c r="J9" s="441"/>
      <c r="K9" s="441"/>
      <c r="L9" s="441"/>
      <c r="M9" s="441"/>
    </row>
    <row r="10" spans="1:13" x14ac:dyDescent="0.15">
      <c r="A10" s="435" t="s">
        <v>55</v>
      </c>
      <c r="B10" s="435"/>
      <c r="C10" s="435"/>
      <c r="D10" s="435"/>
      <c r="E10" s="435"/>
      <c r="F10" s="435"/>
      <c r="H10" s="435" t="s">
        <v>56</v>
      </c>
      <c r="I10" s="435"/>
      <c r="J10" s="435"/>
      <c r="K10" s="435"/>
      <c r="L10" s="435"/>
      <c r="M10" s="435"/>
    </row>
    <row r="11" spans="1:13" s="53" customFormat="1" ht="12" x14ac:dyDescent="0.15">
      <c r="A11" s="434" t="s">
        <v>36</v>
      </c>
      <c r="B11" s="434"/>
      <c r="C11" s="434"/>
      <c r="D11" s="434"/>
      <c r="E11" s="434"/>
      <c r="F11" s="434"/>
      <c r="H11" s="438" t="s">
        <v>36</v>
      </c>
      <c r="I11" s="438"/>
      <c r="J11" s="438"/>
      <c r="K11" s="438"/>
      <c r="L11" s="438"/>
      <c r="M11" s="438"/>
    </row>
    <row r="12" spans="1:13" x14ac:dyDescent="0.15">
      <c r="A12" s="67" t="s">
        <v>41</v>
      </c>
      <c r="B12" s="68">
        <v>-0.25</v>
      </c>
      <c r="C12" s="68">
        <v>-0.1</v>
      </c>
      <c r="D12" s="69" t="s">
        <v>37</v>
      </c>
      <c r="E12" s="70" t="s">
        <v>38</v>
      </c>
      <c r="F12" s="70" t="s">
        <v>39</v>
      </c>
      <c r="H12" s="67" t="s">
        <v>41</v>
      </c>
      <c r="I12" s="71">
        <v>-0.25</v>
      </c>
      <c r="J12" s="71">
        <v>-0.1</v>
      </c>
      <c r="K12" s="72" t="s">
        <v>37</v>
      </c>
      <c r="L12" s="73" t="s">
        <v>38</v>
      </c>
      <c r="M12" s="73" t="s">
        <v>39</v>
      </c>
    </row>
    <row r="13" spans="1:13" x14ac:dyDescent="0.15">
      <c r="A13" s="74" t="s">
        <v>42</v>
      </c>
      <c r="B13" s="69">
        <f>0.75*D13</f>
        <v>150</v>
      </c>
      <c r="C13" s="69">
        <f>0.9*D13</f>
        <v>180</v>
      </c>
      <c r="D13" s="69">
        <f>D3</f>
        <v>200</v>
      </c>
      <c r="E13" s="69">
        <f>D13*1.1</f>
        <v>220.00000000000003</v>
      </c>
      <c r="F13" s="69">
        <f>D13*1.25</f>
        <v>250</v>
      </c>
      <c r="H13" s="74" t="s">
        <v>42</v>
      </c>
      <c r="I13" s="69">
        <f>0.75*K13</f>
        <v>900</v>
      </c>
      <c r="J13" s="69">
        <f>0.9*K13</f>
        <v>1080</v>
      </c>
      <c r="K13" s="69">
        <f>B3</f>
        <v>1200</v>
      </c>
      <c r="L13" s="69">
        <f>K13*1.1</f>
        <v>1320</v>
      </c>
      <c r="M13" s="69">
        <f>K13*1.25</f>
        <v>1500</v>
      </c>
    </row>
    <row r="14" spans="1:13" x14ac:dyDescent="0.15">
      <c r="A14" s="75">
        <f>Irrigated!A14</f>
        <v>3.36</v>
      </c>
      <c r="B14" s="76">
        <f>$A$14*B$13-$D$6</f>
        <v>-247.87475000000006</v>
      </c>
      <c r="C14" s="76">
        <f>$A$14*C$13-$D$6</f>
        <v>-147.07475000000011</v>
      </c>
      <c r="D14" s="76">
        <f>$A$14*D$13-$D$6</f>
        <v>-79.874750000000063</v>
      </c>
      <c r="E14" s="76">
        <f>$A$14*E$13-$D$6</f>
        <v>-12.674750000000017</v>
      </c>
      <c r="F14" s="76">
        <f>$A$14*F$13-$D$6</f>
        <v>88.125249999999937</v>
      </c>
      <c r="H14" s="75">
        <f>Irrigated!H14</f>
        <v>0.47249999999999998</v>
      </c>
      <c r="I14" s="78">
        <f>$H$14*$I$13-$B$6</f>
        <v>-229.50218863636371</v>
      </c>
      <c r="J14" s="78">
        <f>$H$14*J13-$B$6</f>
        <v>-144.45218863636376</v>
      </c>
      <c r="K14" s="78">
        <f>$H$14*K13-$B$6</f>
        <v>-87.752188636363712</v>
      </c>
      <c r="L14" s="78">
        <f>$H$14*L13-$B$6</f>
        <v>-31.05218863636378</v>
      </c>
      <c r="M14" s="78">
        <f>$H$14*M13-$B$6</f>
        <v>53.997811363636288</v>
      </c>
    </row>
    <row r="15" spans="1:13" x14ac:dyDescent="0.15">
      <c r="A15" s="77">
        <f>Irrigated!A15</f>
        <v>4.08</v>
      </c>
      <c r="B15" s="78">
        <f>$A$15*B$13-$D$6</f>
        <v>-139.87475000000006</v>
      </c>
      <c r="C15" s="78">
        <f>$A$15*C$13-$D$6</f>
        <v>-17.474750000000085</v>
      </c>
      <c r="D15" s="78">
        <f>$A$15*D$13-$D$6</f>
        <v>64.125249999999937</v>
      </c>
      <c r="E15" s="78">
        <f>$A$15*E$13-$D$6</f>
        <v>145.72525000000007</v>
      </c>
      <c r="F15" s="78">
        <f>$A$15*F$13-$D$6</f>
        <v>268.12524999999994</v>
      </c>
      <c r="H15" s="77">
        <f>Irrigated!H15</f>
        <v>0.57374999999999998</v>
      </c>
      <c r="I15" s="78">
        <f>$H$15*$I$13-$B$6</f>
        <v>-138.37718863636371</v>
      </c>
      <c r="J15" s="78">
        <f>$H$15*J13-$B$6</f>
        <v>-35.102188636363735</v>
      </c>
      <c r="K15" s="78">
        <f>$H$15*K13-$B$6</f>
        <v>33.747811363636288</v>
      </c>
      <c r="L15" s="78">
        <f>$H$15*L13-$B$6</f>
        <v>102.59781136363631</v>
      </c>
      <c r="M15" s="78">
        <f>$H$15*M13-$B$6</f>
        <v>205.87281136363629</v>
      </c>
    </row>
    <row r="16" spans="1:13" x14ac:dyDescent="0.15">
      <c r="A16" s="77">
        <f>Irrigated!A16</f>
        <v>4.8</v>
      </c>
      <c r="B16" s="78">
        <f>$A$16*B$13-$D$6</f>
        <v>-31.874750000000063</v>
      </c>
      <c r="C16" s="78">
        <f>$A$16*C$13-$D$6</f>
        <v>112.12524999999994</v>
      </c>
      <c r="D16" s="78">
        <f>$A$16*D$13-$D$6</f>
        <v>208.12524999999994</v>
      </c>
      <c r="E16" s="78">
        <f>$A$16*E$13-$D$6</f>
        <v>304.12524999999994</v>
      </c>
      <c r="F16" s="78">
        <f>$A$16*F$13-$D$6</f>
        <v>448.12524999999994</v>
      </c>
      <c r="H16" s="77">
        <f>Irrigated!H16</f>
        <v>0.67500000000000004</v>
      </c>
      <c r="I16" s="78">
        <f>$H$16*$I$13-$B$6</f>
        <v>-47.252188636363712</v>
      </c>
      <c r="J16" s="78">
        <f>$H$16*J13-$B$6</f>
        <v>74.247811363636288</v>
      </c>
      <c r="K16" s="78">
        <f>$H$16*K13-$B$6</f>
        <v>155.24781136363629</v>
      </c>
      <c r="L16" s="78">
        <f>$H$16*L13-$B$6</f>
        <v>236.2478113636364</v>
      </c>
      <c r="M16" s="78">
        <f>$H$16*M13-$B$6</f>
        <v>357.7478113636364</v>
      </c>
    </row>
    <row r="17" spans="1:13" x14ac:dyDescent="0.15">
      <c r="A17" s="77">
        <f>Irrigated!A17</f>
        <v>5.52</v>
      </c>
      <c r="B17" s="78">
        <f>$A$17*B$13-$D$6</f>
        <v>76.125249999999824</v>
      </c>
      <c r="C17" s="78">
        <f>$A$17*C$13-$D$6</f>
        <v>241.72524999999985</v>
      </c>
      <c r="D17" s="78">
        <f>$A$17*D$13-$D$6</f>
        <v>352.12524999999994</v>
      </c>
      <c r="E17" s="78">
        <f>$A$17*E$13-$D$6</f>
        <v>462.52525000000003</v>
      </c>
      <c r="F17" s="78">
        <f>$A$17*F$13-$D$6</f>
        <v>628.12524999999994</v>
      </c>
      <c r="H17" s="77">
        <f>Irrigated!H17</f>
        <v>0.77625</v>
      </c>
      <c r="I17" s="78">
        <f>$H$17*$I$13-$B$6</f>
        <v>43.872811363636288</v>
      </c>
      <c r="J17" s="78">
        <f>$H$17*J13-$B$6</f>
        <v>183.59781136363631</v>
      </c>
      <c r="K17" s="78">
        <f>$H$17*K13-$B$6</f>
        <v>276.74781136363629</v>
      </c>
      <c r="L17" s="78">
        <f>$H$17*L13-$B$6</f>
        <v>369.89781136363638</v>
      </c>
      <c r="M17" s="78">
        <f>$H$17*M13-$B$6</f>
        <v>509.62281136363629</v>
      </c>
    </row>
    <row r="18" spans="1:13" x14ac:dyDescent="0.15">
      <c r="A18" s="79">
        <f>Irrigated!A18</f>
        <v>6.24</v>
      </c>
      <c r="B18" s="80">
        <f>$A$18*B$13-$D$6</f>
        <v>184.12524999999994</v>
      </c>
      <c r="C18" s="80">
        <f>$A$18*C$13-$D$6</f>
        <v>371.32524999999998</v>
      </c>
      <c r="D18" s="80">
        <f>$A$18*D$13-$D$6</f>
        <v>496.12524999999994</v>
      </c>
      <c r="E18" s="80">
        <f>$A$18*E$13-$D$6</f>
        <v>620.92525000000012</v>
      </c>
      <c r="F18" s="80">
        <f>$A$18*F$13-$D$6</f>
        <v>808.12524999999994</v>
      </c>
      <c r="H18" s="79">
        <f>Irrigated!H18</f>
        <v>0.87750000000000006</v>
      </c>
      <c r="I18" s="80">
        <f>$H$18*$I$13-$B$6</f>
        <v>134.99781136363629</v>
      </c>
      <c r="J18" s="80">
        <f>$H$18*J13-$B$6</f>
        <v>292.94781136363633</v>
      </c>
      <c r="K18" s="80">
        <f>$H$18*K13-$B$6</f>
        <v>398.24781136363629</v>
      </c>
      <c r="L18" s="80">
        <f>$H$18*L13-$B$6</f>
        <v>503.54781136363647</v>
      </c>
      <c r="M18" s="80">
        <f>$H$18*M13-$B$6</f>
        <v>661.49781136363629</v>
      </c>
    </row>
    <row r="20" spans="1:13" x14ac:dyDescent="0.15">
      <c r="A20" s="435" t="s">
        <v>57</v>
      </c>
      <c r="B20" s="435"/>
      <c r="C20" s="435"/>
      <c r="D20" s="435"/>
      <c r="E20" s="435"/>
      <c r="F20" s="435"/>
      <c r="H20" s="436" t="s">
        <v>122</v>
      </c>
      <c r="I20" s="436"/>
      <c r="J20" s="436"/>
      <c r="K20" s="436"/>
      <c r="L20" s="436"/>
      <c r="M20" s="436"/>
    </row>
    <row r="21" spans="1:13" s="53" customFormat="1" ht="12" x14ac:dyDescent="0.15">
      <c r="A21" s="434" t="s">
        <v>36</v>
      </c>
      <c r="B21" s="434"/>
      <c r="C21" s="434"/>
      <c r="D21" s="434"/>
      <c r="E21" s="434"/>
      <c r="F21" s="434"/>
      <c r="H21" s="437" t="s">
        <v>36</v>
      </c>
      <c r="I21" s="437"/>
      <c r="J21" s="437"/>
      <c r="K21" s="437"/>
      <c r="L21" s="437"/>
      <c r="M21" s="437"/>
    </row>
    <row r="22" spans="1:13" x14ac:dyDescent="0.15">
      <c r="A22" s="67" t="s">
        <v>41</v>
      </c>
      <c r="B22" s="68">
        <v>-0.25</v>
      </c>
      <c r="C22" s="68">
        <v>-0.1</v>
      </c>
      <c r="D22" s="69" t="s">
        <v>37</v>
      </c>
      <c r="E22" s="70" t="s">
        <v>38</v>
      </c>
      <c r="F22" s="70" t="s">
        <v>39</v>
      </c>
      <c r="H22" s="67" t="s">
        <v>41</v>
      </c>
      <c r="I22" s="68">
        <v>-0.25</v>
      </c>
      <c r="J22" s="68">
        <v>-0.1</v>
      </c>
      <c r="K22" s="69" t="s">
        <v>37</v>
      </c>
      <c r="L22" s="70" t="s">
        <v>38</v>
      </c>
      <c r="M22" s="70" t="s">
        <v>39</v>
      </c>
    </row>
    <row r="23" spans="1:13" x14ac:dyDescent="0.15">
      <c r="A23" s="74" t="s">
        <v>42</v>
      </c>
      <c r="B23" s="69">
        <f>0.75*D23</f>
        <v>75</v>
      </c>
      <c r="C23" s="69">
        <f>0.9*D23</f>
        <v>90</v>
      </c>
      <c r="D23" s="69">
        <f>F3</f>
        <v>100</v>
      </c>
      <c r="E23" s="69">
        <f>D23*1.1</f>
        <v>110.00000000000001</v>
      </c>
      <c r="F23" s="69">
        <f>D23*1.25</f>
        <v>125</v>
      </c>
      <c r="H23" s="74" t="s">
        <v>42</v>
      </c>
      <c r="I23" s="69">
        <f>0.75*K23</f>
        <v>3525</v>
      </c>
      <c r="J23" s="69">
        <f>0.9*K23</f>
        <v>4230</v>
      </c>
      <c r="K23" s="69">
        <f>C3</f>
        <v>4700</v>
      </c>
      <c r="L23" s="69">
        <f>K23*1.1</f>
        <v>5170</v>
      </c>
      <c r="M23" s="69">
        <f>K23*1.25</f>
        <v>5875</v>
      </c>
    </row>
    <row r="24" spans="1:13" x14ac:dyDescent="0.15">
      <c r="A24" s="75">
        <f>Irrigated!A24</f>
        <v>3.3431999999999995</v>
      </c>
      <c r="B24" s="76">
        <f>$A$24*B$23-$F$6</f>
        <v>-161.94562500000006</v>
      </c>
      <c r="C24" s="76">
        <f>$A$24*C$23-$F$6</f>
        <v>-111.79762500000004</v>
      </c>
      <c r="D24" s="76">
        <f>$A$24*D$23-$F$6</f>
        <v>-78.36562500000008</v>
      </c>
      <c r="E24" s="76">
        <f>$A$24*E$23-$F$6</f>
        <v>-44.933625000000006</v>
      </c>
      <c r="F24" s="76">
        <f>$A$24*F$23-$F$6</f>
        <v>5.2143749999999045</v>
      </c>
      <c r="H24" s="81">
        <f>Irrigated!H24</f>
        <v>280</v>
      </c>
      <c r="I24" s="76">
        <f>$H$24*I$23/2000-$C$6</f>
        <v>-208.64913750000005</v>
      </c>
      <c r="J24" s="76">
        <f>$H$24*J$23/2000-$C$6</f>
        <v>-109.94913750000001</v>
      </c>
      <c r="K24" s="76">
        <f>$H$24*K$23/2000-$C$6</f>
        <v>-44.149137500000052</v>
      </c>
      <c r="L24" s="76">
        <f>$H$24*L$23/2000-$C$6</f>
        <v>21.650862499999903</v>
      </c>
      <c r="M24" s="76">
        <f>$H$24*M$23/2000-$C$6</f>
        <v>120.35086249999995</v>
      </c>
    </row>
    <row r="25" spans="1:13" x14ac:dyDescent="0.15">
      <c r="A25" s="77">
        <f>Irrigated!A25</f>
        <v>4.0595999999999997</v>
      </c>
      <c r="B25" s="78">
        <f>$A$25*B$23-$F$6</f>
        <v>-108.21562500000005</v>
      </c>
      <c r="C25" s="78">
        <f>$A$25*C$23-$F$6</f>
        <v>-47.32162500000004</v>
      </c>
      <c r="D25" s="78">
        <f>$A$25*D$23-$F$6</f>
        <v>-6.7256250000000364</v>
      </c>
      <c r="E25" s="78">
        <f>$A$25*E$23-$F$6</f>
        <v>33.870375000000024</v>
      </c>
      <c r="F25" s="78">
        <f>$A$25*F$23-$F$6</f>
        <v>94.764374999999916</v>
      </c>
      <c r="H25" s="82">
        <f>Irrigated!H25</f>
        <v>340</v>
      </c>
      <c r="I25" s="78">
        <f>$H$25*I$23/2000-$C$6</f>
        <v>-102.89913750000005</v>
      </c>
      <c r="J25" s="78">
        <f>$H$25*J$23/2000-$C$6</f>
        <v>16.950862499999971</v>
      </c>
      <c r="K25" s="78">
        <f>$H$25*K$23/2000-$C$6</f>
        <v>96.850862499999948</v>
      </c>
      <c r="L25" s="78">
        <f>$H$25*L$23/2000-$C$6</f>
        <v>176.75086249999993</v>
      </c>
      <c r="M25" s="78">
        <f>$H$25*M$23/2000-$C$6</f>
        <v>296.60086249999995</v>
      </c>
    </row>
    <row r="26" spans="1:13" x14ac:dyDescent="0.15">
      <c r="A26" s="77">
        <f>Irrigated!A26</f>
        <v>4.7759999999999998</v>
      </c>
      <c r="B26" s="78">
        <f>$A$26*B$23-$F$6</f>
        <v>-54.485625000000027</v>
      </c>
      <c r="C26" s="78">
        <f>$A$26*C$23-$F$6</f>
        <v>17.154374999999959</v>
      </c>
      <c r="D26" s="78">
        <f>$A$26*D$23-$F$6</f>
        <v>64.91437499999995</v>
      </c>
      <c r="E26" s="78">
        <f>$A$26*E$23-$F$6</f>
        <v>112.674375</v>
      </c>
      <c r="F26" s="78">
        <f>$A$26*F$23-$F$6</f>
        <v>184.31437499999998</v>
      </c>
      <c r="H26" s="82">
        <f>Irrigated!H26</f>
        <v>400</v>
      </c>
      <c r="I26" s="78">
        <f>$H$26*I$23/2000-$C$6</f>
        <v>2.8508624999999483</v>
      </c>
      <c r="J26" s="78">
        <f>$H$26*J$23/2000-$C$6</f>
        <v>143.85086249999995</v>
      </c>
      <c r="K26" s="78">
        <f>$H$26*K$23/2000-$C$6</f>
        <v>237.85086249999995</v>
      </c>
      <c r="L26" s="78">
        <f>$H$26*L$23/2000-$C$6</f>
        <v>331.85086249999995</v>
      </c>
      <c r="M26" s="78">
        <f>$H$26*M$23/2000-$C$6</f>
        <v>472.85086249999995</v>
      </c>
    </row>
    <row r="27" spans="1:13" x14ac:dyDescent="0.15">
      <c r="A27" s="77">
        <f>Irrigated!A27</f>
        <v>5.4923999999999991</v>
      </c>
      <c r="B27" s="78">
        <f>$A$27*B$23-$F$6</f>
        <v>-0.75562500000006594</v>
      </c>
      <c r="C27" s="78">
        <f>$A$27*C$23-$F$6</f>
        <v>81.630374999999901</v>
      </c>
      <c r="D27" s="78">
        <f>$A$27*D$23-$F$6</f>
        <v>136.55437499999988</v>
      </c>
      <c r="E27" s="78">
        <f>$A$27*E$23-$F$6</f>
        <v>191.47837499999997</v>
      </c>
      <c r="F27" s="78">
        <f>$A$27*F$23-$F$6</f>
        <v>273.86437499999982</v>
      </c>
      <c r="H27" s="82">
        <f>Irrigated!H27</f>
        <v>459.99999999999994</v>
      </c>
      <c r="I27" s="78">
        <f>$H$27*I$23/2000-$C$6</f>
        <v>108.60086249999983</v>
      </c>
      <c r="J27" s="78">
        <f>$H$27*J$23/2000-$C$6</f>
        <v>270.75086249999981</v>
      </c>
      <c r="K27" s="78">
        <f>$H$27*K$23/2000-$C$6</f>
        <v>378.85086249999972</v>
      </c>
      <c r="L27" s="78">
        <f>$H$27*L$23/2000-$C$6</f>
        <v>486.95086249999963</v>
      </c>
      <c r="M27" s="78">
        <f>$H$27*M$23/2000-$C$6</f>
        <v>649.10086249999972</v>
      </c>
    </row>
    <row r="28" spans="1:13" x14ac:dyDescent="0.15">
      <c r="A28" s="79">
        <f>Irrigated!A28</f>
        <v>6.2088000000000001</v>
      </c>
      <c r="B28" s="80">
        <f>$A$28*B$23-$F$6</f>
        <v>52.974375000000009</v>
      </c>
      <c r="C28" s="80">
        <f>$A$28*C$23-$F$6</f>
        <v>146.10637500000001</v>
      </c>
      <c r="D28" s="80">
        <f>$A$28*D$23-$F$6</f>
        <v>208.19437499999998</v>
      </c>
      <c r="E28" s="80">
        <f>$A$28*E$23-$F$6</f>
        <v>270.28237500000006</v>
      </c>
      <c r="F28" s="80">
        <f>$A$28*F$23-$F$6</f>
        <v>363.41437500000001</v>
      </c>
      <c r="H28" s="83">
        <f>Irrigated!H28</f>
        <v>520</v>
      </c>
      <c r="I28" s="80">
        <f>$H$28*I$23/2000-$C$6</f>
        <v>214.35086249999995</v>
      </c>
      <c r="J28" s="80">
        <f>$H$28*J$23/2000-$C$6</f>
        <v>397.6508624999999</v>
      </c>
      <c r="K28" s="80">
        <f>$H$28*K$23/2000-$C$6</f>
        <v>519.85086249999995</v>
      </c>
      <c r="L28" s="80">
        <f>$H$28*L$23/2000-$C$6</f>
        <v>642.05086249999999</v>
      </c>
      <c r="M28" s="80">
        <f>$H$28*M$23/2000-$C$6</f>
        <v>825.35086249999995</v>
      </c>
    </row>
    <row r="30" spans="1:13" x14ac:dyDescent="0.15">
      <c r="A30" s="435" t="s">
        <v>58</v>
      </c>
      <c r="B30" s="435"/>
      <c r="C30" s="435"/>
      <c r="D30" s="435"/>
      <c r="E30" s="435"/>
      <c r="F30" s="435"/>
    </row>
    <row r="31" spans="1:13" s="53" customFormat="1" ht="12" x14ac:dyDescent="0.15">
      <c r="A31" s="434" t="s">
        <v>36</v>
      </c>
      <c r="B31" s="434"/>
      <c r="C31" s="434"/>
      <c r="D31" s="434"/>
      <c r="E31" s="434"/>
      <c r="F31" s="434"/>
    </row>
    <row r="32" spans="1:13" x14ac:dyDescent="0.15">
      <c r="A32" s="67" t="s">
        <v>41</v>
      </c>
      <c r="B32" s="68">
        <v>-0.25</v>
      </c>
      <c r="C32" s="68">
        <v>-0.1</v>
      </c>
      <c r="D32" s="69" t="s">
        <v>37</v>
      </c>
      <c r="E32" s="70" t="s">
        <v>38</v>
      </c>
      <c r="F32" s="70" t="s">
        <v>39</v>
      </c>
    </row>
    <row r="33" spans="1:6" x14ac:dyDescent="0.15">
      <c r="A33" s="74" t="s">
        <v>42</v>
      </c>
      <c r="B33" s="69">
        <f>0.75*D33</f>
        <v>45</v>
      </c>
      <c r="C33" s="69">
        <f>0.9*D33</f>
        <v>54</v>
      </c>
      <c r="D33" s="69">
        <f>E3</f>
        <v>60</v>
      </c>
      <c r="E33" s="69">
        <f>D33*1.1</f>
        <v>66</v>
      </c>
      <c r="F33" s="69">
        <f>D33*1.25</f>
        <v>75</v>
      </c>
    </row>
    <row r="34" spans="1:6" x14ac:dyDescent="0.15">
      <c r="A34" s="75">
        <f>Irrigated!A34</f>
        <v>6.6499999999999995</v>
      </c>
      <c r="B34" s="76">
        <f>$A$34*B$33-$E$6</f>
        <v>-36.820631249999906</v>
      </c>
      <c r="C34" s="76">
        <f>$A$34*C$33-$E$6</f>
        <v>23.02936875000006</v>
      </c>
      <c r="D34" s="76">
        <f>$A$34*D$33-$E$6</f>
        <v>62.929368750000037</v>
      </c>
      <c r="E34" s="76">
        <f>$A$34*E$33-$E$6</f>
        <v>102.82936875000007</v>
      </c>
      <c r="F34" s="76">
        <f>$A$34*F$33-$E$6</f>
        <v>162.67936875000004</v>
      </c>
    </row>
    <row r="35" spans="1:6" x14ac:dyDescent="0.15">
      <c r="A35" s="77">
        <f>Irrigated!A35</f>
        <v>8.0749999999999993</v>
      </c>
      <c r="B35" s="78">
        <f>$A$35*B$33-$E$6</f>
        <v>27.304368750000037</v>
      </c>
      <c r="C35" s="78">
        <f>$A$35*C$33-$E$6</f>
        <v>99.979368750000049</v>
      </c>
      <c r="D35" s="78">
        <f>$A$35*D$33-$E$6</f>
        <v>148.42936875000004</v>
      </c>
      <c r="E35" s="78">
        <f>$A$35*E$33-$E$6</f>
        <v>196.87936875000003</v>
      </c>
      <c r="F35" s="78">
        <f>$A$35*F$33-$E$6</f>
        <v>269.55436875000009</v>
      </c>
    </row>
    <row r="36" spans="1:6" x14ac:dyDescent="0.15">
      <c r="A36" s="77">
        <f>Irrigated!A36</f>
        <v>9.5</v>
      </c>
      <c r="B36" s="78">
        <f>$A$36*B$33-$E$6</f>
        <v>91.429368750000094</v>
      </c>
      <c r="C36" s="78">
        <f>$A$36*C$33-$E$6</f>
        <v>176.92936875000009</v>
      </c>
      <c r="D36" s="78">
        <f>$A$36*D$33-$E$6</f>
        <v>233.92936875000009</v>
      </c>
      <c r="E36" s="78">
        <f>$A$36*E$33-$E$6</f>
        <v>290.92936875000009</v>
      </c>
      <c r="F36" s="78">
        <f>$A$36*F$33-$E$6</f>
        <v>376.42936875000009</v>
      </c>
    </row>
    <row r="37" spans="1:6" x14ac:dyDescent="0.15">
      <c r="A37" s="77">
        <f>Irrigated!A37</f>
        <v>10.924999999999999</v>
      </c>
      <c r="B37" s="78">
        <f>$A$37*B$33-$E$6</f>
        <v>155.55436875000004</v>
      </c>
      <c r="C37" s="78">
        <f>$A$37*C$33-$E$6</f>
        <v>253.87936875000003</v>
      </c>
      <c r="D37" s="78">
        <f>$A$37*D$33-$E$6</f>
        <v>319.42936874999998</v>
      </c>
      <c r="E37" s="78">
        <f>$A$37*E$33-$E$6</f>
        <v>384.97936875000005</v>
      </c>
      <c r="F37" s="78">
        <f>$A$37*F$33-$E$6</f>
        <v>483.30436874999998</v>
      </c>
    </row>
    <row r="38" spans="1:6" x14ac:dyDescent="0.15">
      <c r="A38" s="79">
        <f>Irrigated!A38</f>
        <v>12.35</v>
      </c>
      <c r="B38" s="80">
        <f>$A$38*B$33-$E$6</f>
        <v>219.67936875000009</v>
      </c>
      <c r="C38" s="80">
        <f>$A$38*C$33-$E$6</f>
        <v>330.82936875000007</v>
      </c>
      <c r="D38" s="80">
        <f>$A$38*D$33-$E$6</f>
        <v>404.92936875000009</v>
      </c>
      <c r="E38" s="80">
        <f>$A$38*E$33-$E$6</f>
        <v>479.02936875000012</v>
      </c>
      <c r="F38" s="80">
        <f>$A$38*F$33-$E$6</f>
        <v>590.17936875000009</v>
      </c>
    </row>
    <row r="39" spans="1:6" s="53" customFormat="1" ht="12" x14ac:dyDescent="0.15"/>
    <row r="49" s="53" customFormat="1" ht="12" x14ac:dyDescent="0.15"/>
    <row r="59" s="53" customFormat="1" ht="12" x14ac:dyDescent="0.15"/>
  </sheetData>
  <sheetProtection sheet="1" objects="1" scenarios="1"/>
  <mergeCells count="13">
    <mergeCell ref="A31:F31"/>
    <mergeCell ref="A20:F20"/>
    <mergeCell ref="A21:F21"/>
    <mergeCell ref="H21:M21"/>
    <mergeCell ref="A30:F30"/>
    <mergeCell ref="H20:M20"/>
    <mergeCell ref="B1:F1"/>
    <mergeCell ref="A7:M7"/>
    <mergeCell ref="A10:F10"/>
    <mergeCell ref="A11:F11"/>
    <mergeCell ref="H11:M11"/>
    <mergeCell ref="A9:M9"/>
    <mergeCell ref="H10:M10"/>
  </mergeCells>
  <phoneticPr fontId="2" type="noConversion"/>
  <conditionalFormatting sqref="B14:F18 I14:M18 B24:F28 I24:M28 B34:F38">
    <cfRule type="cellIs" dxfId="1" priority="1" stopIfTrue="1" operator="greaterThanOrEqual">
      <formula>0</formula>
    </cfRule>
  </conditionalFormatting>
  <printOptions horizontalCentered="1" verticalCentered="1"/>
  <pageMargins left="0.5" right="0.5" top="0.5" bottom="0.5" header="0.5" footer="0.5"/>
  <pageSetup orientation="landscape" horizontalDpi="300" verticalDpi="300"/>
  <headerFooter alignWithMargins="0">
    <oddFooter>&amp;L&amp;G</oddFoot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M59"/>
  <sheetViews>
    <sheetView topLeftCell="A7" workbookViewId="0">
      <selection sqref="A1:I1"/>
    </sheetView>
  </sheetViews>
  <sheetFormatPr baseColWidth="10" defaultColWidth="9.6640625" defaultRowHeight="13" x14ac:dyDescent="0.15"/>
  <cols>
    <col min="1" max="13" width="9.33203125" style="66" customWidth="1"/>
    <col min="14" max="16384" width="9.6640625" style="66"/>
  </cols>
  <sheetData>
    <row r="1" spans="1:13" s="53" customFormat="1" ht="12" hidden="1" x14ac:dyDescent="0.15">
      <c r="B1" s="443" t="s">
        <v>46</v>
      </c>
      <c r="C1" s="443"/>
      <c r="D1" s="443"/>
      <c r="E1" s="443"/>
      <c r="F1" s="443"/>
      <c r="G1" s="84"/>
    </row>
    <row r="2" spans="1:13" s="53" customFormat="1" ht="12" hidden="1" x14ac:dyDescent="0.15">
      <c r="A2" s="54" t="s">
        <v>40</v>
      </c>
      <c r="B2" s="55" t="str">
        <f>Conventional!L6</f>
        <v>Cotton</v>
      </c>
      <c r="C2" s="55" t="str">
        <f>Conventional!N6</f>
        <v>Peanuts</v>
      </c>
      <c r="D2" s="55" t="str">
        <f>Conventional!P6</f>
        <v>Corn</v>
      </c>
      <c r="E2" s="55" t="str">
        <f>Conventional!R6</f>
        <v>Soybeans</v>
      </c>
      <c r="F2" s="55" t="str">
        <f>Conventional!T6</f>
        <v>Sorghum</v>
      </c>
    </row>
    <row r="3" spans="1:13" s="53" customFormat="1" ht="12" hidden="1" x14ac:dyDescent="0.15">
      <c r="A3" s="54" t="s">
        <v>41</v>
      </c>
      <c r="B3" s="56">
        <f>'Strip-Till'!L7</f>
        <v>750</v>
      </c>
      <c r="C3" s="56">
        <f>'Strip-Till'!N7</f>
        <v>3400</v>
      </c>
      <c r="D3" s="56">
        <f>'Strip-Till'!P7</f>
        <v>85</v>
      </c>
      <c r="E3" s="56">
        <f>'Strip-Till'!R7</f>
        <v>30</v>
      </c>
      <c r="F3" s="56">
        <f>'Strip-Till'!T7</f>
        <v>65</v>
      </c>
    </row>
    <row r="4" spans="1:13" s="53" customFormat="1" ht="12" hidden="1" x14ac:dyDescent="0.15">
      <c r="A4" s="53" t="s">
        <v>42</v>
      </c>
      <c r="B4" s="58">
        <f>'Strip-Till'!L8</f>
        <v>0.67500000000000004</v>
      </c>
      <c r="C4" s="59">
        <f>'Strip-Till'!N8</f>
        <v>400</v>
      </c>
      <c r="D4" s="60">
        <f>'Strip-Till'!P8</f>
        <v>4.8</v>
      </c>
      <c r="E4" s="60">
        <f>'Strip-Till'!R8</f>
        <v>9.5</v>
      </c>
      <c r="F4" s="60">
        <f>'Strip-Till'!T8</f>
        <v>4.7759999999999998</v>
      </c>
    </row>
    <row r="5" spans="1:13" s="53" customFormat="1" ht="12" hidden="1" x14ac:dyDescent="0.15">
      <c r="A5" s="61" t="s">
        <v>44</v>
      </c>
      <c r="B5" s="62">
        <f>B3*B4</f>
        <v>506.25000000000006</v>
      </c>
      <c r="C5" s="62">
        <f>C3*C4/2000</f>
        <v>680</v>
      </c>
      <c r="D5" s="62">
        <f>D3*D4</f>
        <v>408</v>
      </c>
      <c r="E5" s="62">
        <f>E3*E4</f>
        <v>285</v>
      </c>
      <c r="F5" s="62">
        <f>F3*F4</f>
        <v>310.44</v>
      </c>
    </row>
    <row r="6" spans="1:13" s="53" customFormat="1" ht="12" hidden="1" x14ac:dyDescent="0.15">
      <c r="A6" s="61" t="s">
        <v>43</v>
      </c>
      <c r="B6" s="64">
        <f>'Strip-Till'!L31</f>
        <v>523.5557303977273</v>
      </c>
      <c r="C6" s="64">
        <f>'Strip-Till'!N31</f>
        <v>629.62651249999988</v>
      </c>
      <c r="D6" s="64">
        <f>'Strip-Till'!P31</f>
        <v>385.66947093750002</v>
      </c>
      <c r="E6" s="64">
        <f>'Strip-Till'!R31</f>
        <v>279.63701187499998</v>
      </c>
      <c r="F6" s="64">
        <f>'Strip-Till'!T31</f>
        <v>276.61345687499994</v>
      </c>
    </row>
    <row r="7" spans="1:13" s="53" customFormat="1" ht="16" x14ac:dyDescent="0.2">
      <c r="A7" s="442" t="s">
        <v>130</v>
      </c>
      <c r="B7" s="442"/>
      <c r="C7" s="442"/>
      <c r="D7" s="442"/>
      <c r="E7" s="442"/>
      <c r="F7" s="442"/>
      <c r="G7" s="442"/>
      <c r="H7" s="442"/>
      <c r="I7" s="442"/>
      <c r="J7" s="442"/>
      <c r="K7" s="442"/>
      <c r="L7" s="442"/>
      <c r="M7" s="442"/>
    </row>
    <row r="8" spans="1:13" s="53" customFormat="1" ht="16" x14ac:dyDescent="0.2">
      <c r="A8" s="51" t="s">
        <v>35</v>
      </c>
      <c r="B8" s="65"/>
      <c r="C8" s="65"/>
      <c r="D8" s="65"/>
      <c r="E8" s="65"/>
      <c r="F8" s="65"/>
      <c r="G8" s="65"/>
      <c r="H8" s="65"/>
      <c r="I8" s="65"/>
      <c r="J8" s="65"/>
      <c r="K8" s="65"/>
      <c r="L8" s="65"/>
      <c r="M8" s="65"/>
    </row>
    <row r="9" spans="1:13" x14ac:dyDescent="0.15">
      <c r="A9" s="441" t="s">
        <v>153</v>
      </c>
      <c r="B9" s="441"/>
      <c r="C9" s="441"/>
      <c r="D9" s="441"/>
      <c r="E9" s="441"/>
      <c r="F9" s="441"/>
      <c r="G9" s="441"/>
      <c r="H9" s="441"/>
      <c r="I9" s="441"/>
      <c r="J9" s="441"/>
      <c r="K9" s="441"/>
      <c r="L9" s="441"/>
      <c r="M9" s="441"/>
    </row>
    <row r="10" spans="1:13" x14ac:dyDescent="0.15">
      <c r="A10" s="435" t="s">
        <v>59</v>
      </c>
      <c r="B10" s="435"/>
      <c r="C10" s="435"/>
      <c r="D10" s="435"/>
      <c r="E10" s="435"/>
      <c r="F10" s="435"/>
      <c r="H10" s="435" t="s">
        <v>62</v>
      </c>
      <c r="I10" s="435"/>
      <c r="J10" s="435"/>
      <c r="K10" s="435"/>
      <c r="L10" s="435"/>
      <c r="M10" s="435"/>
    </row>
    <row r="11" spans="1:13" s="53" customFormat="1" ht="12" x14ac:dyDescent="0.15">
      <c r="A11" s="434" t="s">
        <v>36</v>
      </c>
      <c r="B11" s="434"/>
      <c r="C11" s="434"/>
      <c r="D11" s="434"/>
      <c r="E11" s="434"/>
      <c r="F11" s="434"/>
      <c r="H11" s="438" t="s">
        <v>36</v>
      </c>
      <c r="I11" s="438"/>
      <c r="J11" s="438"/>
      <c r="K11" s="438"/>
      <c r="L11" s="438"/>
      <c r="M11" s="438"/>
    </row>
    <row r="12" spans="1:13" x14ac:dyDescent="0.15">
      <c r="A12" s="67" t="s">
        <v>41</v>
      </c>
      <c r="B12" s="68">
        <v>-0.25</v>
      </c>
      <c r="C12" s="68">
        <v>-0.1</v>
      </c>
      <c r="D12" s="69" t="s">
        <v>37</v>
      </c>
      <c r="E12" s="70" t="s">
        <v>38</v>
      </c>
      <c r="F12" s="70" t="s">
        <v>39</v>
      </c>
      <c r="H12" s="67" t="s">
        <v>41</v>
      </c>
      <c r="I12" s="71">
        <v>-0.25</v>
      </c>
      <c r="J12" s="71">
        <v>-0.1</v>
      </c>
      <c r="K12" s="72" t="s">
        <v>37</v>
      </c>
      <c r="L12" s="73" t="s">
        <v>38</v>
      </c>
      <c r="M12" s="73" t="s">
        <v>39</v>
      </c>
    </row>
    <row r="13" spans="1:13" x14ac:dyDescent="0.15">
      <c r="A13" s="74" t="s">
        <v>42</v>
      </c>
      <c r="B13" s="69">
        <f>0.75*D13</f>
        <v>63.75</v>
      </c>
      <c r="C13" s="69">
        <f>0.9*D13</f>
        <v>76.5</v>
      </c>
      <c r="D13" s="69">
        <f>D3</f>
        <v>85</v>
      </c>
      <c r="E13" s="69">
        <f>D13*1.1</f>
        <v>93.500000000000014</v>
      </c>
      <c r="F13" s="69">
        <f>D13*1.25</f>
        <v>106.25</v>
      </c>
      <c r="H13" s="74" t="s">
        <v>42</v>
      </c>
      <c r="I13" s="72">
        <f>0.75*K13</f>
        <v>562.5</v>
      </c>
      <c r="J13" s="72">
        <f>0.9*K13</f>
        <v>675</v>
      </c>
      <c r="K13" s="72">
        <f>B3</f>
        <v>750</v>
      </c>
      <c r="L13" s="72">
        <f>K13*1.1</f>
        <v>825.00000000000011</v>
      </c>
      <c r="M13" s="72">
        <f>K13*1.25</f>
        <v>937.5</v>
      </c>
    </row>
    <row r="14" spans="1:13" x14ac:dyDescent="0.15">
      <c r="A14" s="75">
        <f>Irrigated!A14</f>
        <v>3.36</v>
      </c>
      <c r="B14" s="76">
        <f>$A$14*B$13-$D$6</f>
        <v>-171.46947093750003</v>
      </c>
      <c r="C14" s="76">
        <f>$A$14*C$13-$D$6</f>
        <v>-128.62947093750006</v>
      </c>
      <c r="D14" s="76">
        <f>$A$14*D$13-$D$6</f>
        <v>-100.06947093750006</v>
      </c>
      <c r="E14" s="76">
        <f>$A$14*E$13-$D$6</f>
        <v>-71.509470937499998</v>
      </c>
      <c r="F14" s="76">
        <f>$A$14*F$13-$D$6</f>
        <v>-28.669470937500023</v>
      </c>
      <c r="H14" s="75">
        <f>Irrigated!H14</f>
        <v>0.47249999999999998</v>
      </c>
      <c r="I14" s="76">
        <f>$H$14*I$13-$B$6</f>
        <v>-257.7744803977273</v>
      </c>
      <c r="J14" s="76">
        <f>$H$14*J$13-$B$6</f>
        <v>-204.6182303977273</v>
      </c>
      <c r="K14" s="76">
        <f>$H$14*K$13-$B$6</f>
        <v>-169.1807303977273</v>
      </c>
      <c r="L14" s="76">
        <f>$H$14*L$13-$B$6</f>
        <v>-133.74323039772725</v>
      </c>
      <c r="M14" s="76">
        <f>$H$14*M$13-$B$6</f>
        <v>-80.586980397727302</v>
      </c>
    </row>
    <row r="15" spans="1:13" x14ac:dyDescent="0.15">
      <c r="A15" s="77">
        <f>Irrigated!A15</f>
        <v>4.08</v>
      </c>
      <c r="B15" s="78">
        <f>$A$15*B$13-$D$6</f>
        <v>-125.5694709375</v>
      </c>
      <c r="C15" s="78">
        <f>$A$15*C$13-$D$6</f>
        <v>-73.549470937500018</v>
      </c>
      <c r="D15" s="78">
        <f>$A$15*D$13-$D$6</f>
        <v>-38.869470937500012</v>
      </c>
      <c r="E15" s="78">
        <f>$A$15*E$13-$D$6</f>
        <v>-4.1894709374999479</v>
      </c>
      <c r="F15" s="78">
        <f>$A$15*F$13-$D$6</f>
        <v>47.830529062499977</v>
      </c>
      <c r="H15" s="77">
        <f>Irrigated!H15</f>
        <v>0.57374999999999998</v>
      </c>
      <c r="I15" s="78">
        <f>$H$15*I$13-$B$6</f>
        <v>-200.8213553977273</v>
      </c>
      <c r="J15" s="78">
        <f>$H$15*J$13-$B$6</f>
        <v>-136.2744803977273</v>
      </c>
      <c r="K15" s="78">
        <f>$H$15*K$13-$B$6</f>
        <v>-93.243230397727302</v>
      </c>
      <c r="L15" s="78">
        <f>$H$15*L$13-$B$6</f>
        <v>-50.211980397727245</v>
      </c>
      <c r="M15" s="78">
        <f>$H$15*M$13-$B$6</f>
        <v>14.334894602272698</v>
      </c>
    </row>
    <row r="16" spans="1:13" x14ac:dyDescent="0.15">
      <c r="A16" s="77">
        <f>Irrigated!A16</f>
        <v>4.8</v>
      </c>
      <c r="B16" s="78">
        <f>$A$16*B$13-$D$6</f>
        <v>-79.669470937500023</v>
      </c>
      <c r="C16" s="78">
        <f>$A$16*C$13-$D$6</f>
        <v>-18.469470937500034</v>
      </c>
      <c r="D16" s="78">
        <f>$A$16*D$13-$D$6</f>
        <v>22.330529062499977</v>
      </c>
      <c r="E16" s="78">
        <f>$A$16*E$13-$D$6</f>
        <v>63.130529062500045</v>
      </c>
      <c r="F16" s="78">
        <f>$A$16*F$13-$D$6</f>
        <v>124.33052906249998</v>
      </c>
      <c r="H16" s="77">
        <f>Irrigated!H16</f>
        <v>0.67500000000000004</v>
      </c>
      <c r="I16" s="78">
        <f>$H$16*I$13-$B$6</f>
        <v>-143.8682303977273</v>
      </c>
      <c r="J16" s="78">
        <f>$H$16*J$13-$B$6</f>
        <v>-67.930730397727245</v>
      </c>
      <c r="K16" s="78">
        <f>$H$16*K$13-$B$6</f>
        <v>-17.305730397727245</v>
      </c>
      <c r="L16" s="78">
        <f>$H$16*L$13-$B$6</f>
        <v>33.319269602272811</v>
      </c>
      <c r="M16" s="78">
        <f>$H$16*M$13-$B$6</f>
        <v>109.2567696022727</v>
      </c>
    </row>
    <row r="17" spans="1:13" x14ac:dyDescent="0.15">
      <c r="A17" s="77">
        <f>Irrigated!A17</f>
        <v>5.52</v>
      </c>
      <c r="B17" s="78">
        <f>$A$17*B$13-$D$6</f>
        <v>-33.769470937500046</v>
      </c>
      <c r="C17" s="78">
        <f>$A$17*C$13-$D$6</f>
        <v>36.61052906249995</v>
      </c>
      <c r="D17" s="78">
        <f>$A$17*D$13-$D$6</f>
        <v>83.530529062499966</v>
      </c>
      <c r="E17" s="78">
        <f>$A$17*E$13-$D$6</f>
        <v>130.45052906249998</v>
      </c>
      <c r="F17" s="78">
        <f>$A$17*F$13-$D$6</f>
        <v>200.83052906249998</v>
      </c>
      <c r="H17" s="77">
        <f>Irrigated!H17</f>
        <v>0.77625</v>
      </c>
      <c r="I17" s="78">
        <f>$H$17*I$13-$B$6</f>
        <v>-86.915105397727302</v>
      </c>
      <c r="J17" s="78">
        <f>$H$17*J$13-$B$6</f>
        <v>0.41301960227269774</v>
      </c>
      <c r="K17" s="78">
        <f>$H$17*K$13-$B$6</f>
        <v>58.631769602272698</v>
      </c>
      <c r="L17" s="78">
        <f>$H$17*L$13-$B$6</f>
        <v>116.85051960227281</v>
      </c>
      <c r="M17" s="78">
        <f>$H$17*M$13-$B$6</f>
        <v>204.1786446022727</v>
      </c>
    </row>
    <row r="18" spans="1:13" x14ac:dyDescent="0.15">
      <c r="A18" s="79">
        <f>Irrigated!A18</f>
        <v>6.24</v>
      </c>
      <c r="B18" s="80">
        <f>$A$18*B$13-$D$6</f>
        <v>12.130529062499988</v>
      </c>
      <c r="C18" s="80">
        <f>$A$18*C$13-$D$6</f>
        <v>91.690529062499991</v>
      </c>
      <c r="D18" s="80">
        <f>$A$18*D$13-$D$6</f>
        <v>144.73052906249995</v>
      </c>
      <c r="E18" s="80">
        <f>$A$18*E$13-$D$6</f>
        <v>197.77052906250003</v>
      </c>
      <c r="F18" s="80">
        <f>$A$18*F$13-$D$6</f>
        <v>277.33052906249998</v>
      </c>
      <c r="H18" s="79">
        <f>Irrigated!H18</f>
        <v>0.87750000000000006</v>
      </c>
      <c r="I18" s="80">
        <f>$H$18*I$13-$B$6</f>
        <v>-29.961980397727245</v>
      </c>
      <c r="J18" s="80">
        <f>$H$18*J$13-$B$6</f>
        <v>68.756769602272698</v>
      </c>
      <c r="K18" s="80">
        <f>$H$18*K$13-$B$6</f>
        <v>134.5692696022727</v>
      </c>
      <c r="L18" s="80">
        <f>$H$18*L$13-$B$6</f>
        <v>200.38176960227281</v>
      </c>
      <c r="M18" s="80">
        <f>$H$18*M$13-$B$6</f>
        <v>299.1005196022727</v>
      </c>
    </row>
    <row r="20" spans="1:13" x14ac:dyDescent="0.15">
      <c r="A20" s="435" t="s">
        <v>60</v>
      </c>
      <c r="B20" s="435"/>
      <c r="C20" s="435"/>
      <c r="D20" s="435"/>
      <c r="E20" s="435"/>
      <c r="F20" s="435"/>
      <c r="H20" s="436" t="s">
        <v>123</v>
      </c>
      <c r="I20" s="436"/>
      <c r="J20" s="436"/>
      <c r="K20" s="436"/>
      <c r="L20" s="436"/>
      <c r="M20" s="436"/>
    </row>
    <row r="21" spans="1:13" s="53" customFormat="1" ht="12" x14ac:dyDescent="0.15">
      <c r="A21" s="434" t="s">
        <v>36</v>
      </c>
      <c r="B21" s="434"/>
      <c r="C21" s="434"/>
      <c r="D21" s="434"/>
      <c r="E21" s="434"/>
      <c r="F21" s="434"/>
      <c r="H21" s="437" t="s">
        <v>36</v>
      </c>
      <c r="I21" s="437"/>
      <c r="J21" s="437"/>
      <c r="K21" s="437"/>
      <c r="L21" s="437"/>
      <c r="M21" s="437"/>
    </row>
    <row r="22" spans="1:13" x14ac:dyDescent="0.15">
      <c r="A22" s="67" t="s">
        <v>41</v>
      </c>
      <c r="B22" s="68">
        <v>-0.25</v>
      </c>
      <c r="C22" s="68">
        <v>-0.1</v>
      </c>
      <c r="D22" s="69" t="s">
        <v>37</v>
      </c>
      <c r="E22" s="70" t="s">
        <v>38</v>
      </c>
      <c r="F22" s="70" t="s">
        <v>39</v>
      </c>
      <c r="H22" s="67" t="s">
        <v>41</v>
      </c>
      <c r="I22" s="68">
        <v>-0.25</v>
      </c>
      <c r="J22" s="68">
        <v>-0.1</v>
      </c>
      <c r="K22" s="69" t="s">
        <v>37</v>
      </c>
      <c r="L22" s="70" t="s">
        <v>38</v>
      </c>
      <c r="M22" s="70" t="s">
        <v>39</v>
      </c>
    </row>
    <row r="23" spans="1:13" x14ac:dyDescent="0.15">
      <c r="A23" s="74" t="s">
        <v>42</v>
      </c>
      <c r="B23" s="69">
        <f>0.75*D23</f>
        <v>48.75</v>
      </c>
      <c r="C23" s="69">
        <f>0.9*D23</f>
        <v>58.5</v>
      </c>
      <c r="D23" s="69">
        <f>F3</f>
        <v>65</v>
      </c>
      <c r="E23" s="69">
        <f>D23*1.1</f>
        <v>71.5</v>
      </c>
      <c r="F23" s="69">
        <f>D23*1.25</f>
        <v>81.25</v>
      </c>
      <c r="H23" s="74" t="s">
        <v>42</v>
      </c>
      <c r="I23" s="69">
        <f>0.75*K23</f>
        <v>2550</v>
      </c>
      <c r="J23" s="69">
        <f>0.9*K23</f>
        <v>3060</v>
      </c>
      <c r="K23" s="69">
        <f>C3</f>
        <v>3400</v>
      </c>
      <c r="L23" s="69">
        <f>K23*1.1</f>
        <v>3740.0000000000005</v>
      </c>
      <c r="M23" s="69">
        <f>K23*1.25</f>
        <v>4250</v>
      </c>
    </row>
    <row r="24" spans="1:13" x14ac:dyDescent="0.15">
      <c r="A24" s="75">
        <f>Irrigated!A24</f>
        <v>3.3431999999999995</v>
      </c>
      <c r="B24" s="76">
        <f>$A$24*B$23-$F$6</f>
        <v>-113.63245687499997</v>
      </c>
      <c r="C24" s="76">
        <f>$A$24*C$23-$F$6</f>
        <v>-81.036256874999964</v>
      </c>
      <c r="D24" s="76">
        <f>$A$24*D$23-$F$6</f>
        <v>-59.305456874999976</v>
      </c>
      <c r="E24" s="76">
        <f>$A$24*E$23-$F$6</f>
        <v>-37.574656874999988</v>
      </c>
      <c r="F24" s="76">
        <f>$A$24*F$23-$F$6</f>
        <v>-4.9784568750000062</v>
      </c>
      <c r="H24" s="81">
        <f>Irrigated!H24</f>
        <v>280</v>
      </c>
      <c r="I24" s="76">
        <f>$H$24*I$23/2000-$C$6</f>
        <v>-272.62651249999988</v>
      </c>
      <c r="J24" s="76">
        <f>$H$24*J$23/2000-$C$6</f>
        <v>-201.2265124999999</v>
      </c>
      <c r="K24" s="76">
        <f>$H$24*K$23/2000-$C$6</f>
        <v>-153.62651249999988</v>
      </c>
      <c r="L24" s="76">
        <f>$H$24*L$23/2000-$C$6</f>
        <v>-106.02651249999985</v>
      </c>
      <c r="M24" s="76">
        <f>$H$24*M$23/2000-$C$6</f>
        <v>-34.626512499999876</v>
      </c>
    </row>
    <row r="25" spans="1:13" x14ac:dyDescent="0.15">
      <c r="A25" s="77">
        <f>Irrigated!A25</f>
        <v>4.0595999999999997</v>
      </c>
      <c r="B25" s="78">
        <f>$A$25*B$23-$F$6</f>
        <v>-78.707956874999951</v>
      </c>
      <c r="C25" s="78">
        <f>$A$25*C$23-$F$6</f>
        <v>-39.126856874999959</v>
      </c>
      <c r="D25" s="78">
        <f>$A$25*D$23-$F$6</f>
        <v>-12.739456874999973</v>
      </c>
      <c r="E25" s="78">
        <f>$A$25*E$23-$F$6</f>
        <v>13.64794312500004</v>
      </c>
      <c r="F25" s="78">
        <f>$A$25*F$23-$F$6</f>
        <v>53.229043125000032</v>
      </c>
      <c r="H25" s="82">
        <f>Irrigated!H25</f>
        <v>340</v>
      </c>
      <c r="I25" s="78">
        <f>$H$25*I$23/2000-$C$6</f>
        <v>-196.12651249999988</v>
      </c>
      <c r="J25" s="78">
        <f>$H$25*J$23/2000-$C$6</f>
        <v>-109.42651249999983</v>
      </c>
      <c r="K25" s="78">
        <f>$H$25*K$23/2000-$C$6</f>
        <v>-51.626512499999876</v>
      </c>
      <c r="L25" s="78">
        <f>$H$25*L$23/2000-$C$6</f>
        <v>6.1734875000001921</v>
      </c>
      <c r="M25" s="78">
        <f>$H$25*M$23/2000-$C$6</f>
        <v>92.873487500000124</v>
      </c>
    </row>
    <row r="26" spans="1:13" x14ac:dyDescent="0.15">
      <c r="A26" s="77">
        <f>Irrigated!A26</f>
        <v>4.7759999999999998</v>
      </c>
      <c r="B26" s="78">
        <f>$A$26*B$23-$F$6</f>
        <v>-43.783456874999956</v>
      </c>
      <c r="C26" s="78">
        <f>$A$26*C$23-$F$6</f>
        <v>2.7825431250000747</v>
      </c>
      <c r="D26" s="78">
        <f>$A$26*D$23-$F$6</f>
        <v>33.826543125000057</v>
      </c>
      <c r="E26" s="78">
        <f>$A$26*E$23-$F$6</f>
        <v>64.87054312500004</v>
      </c>
      <c r="F26" s="78">
        <f>$A$26*F$23-$F$6</f>
        <v>111.43654312500007</v>
      </c>
      <c r="H26" s="82">
        <f>Irrigated!H26</f>
        <v>400</v>
      </c>
      <c r="I26" s="78">
        <f>$H$26*I$23/2000-$C$6</f>
        <v>-119.62651249999988</v>
      </c>
      <c r="J26" s="78">
        <f>$H$26*J$23/2000-$C$6</f>
        <v>-17.626512499999876</v>
      </c>
      <c r="K26" s="78">
        <f>$H$26*K$23/2000-$C$6</f>
        <v>50.373487500000124</v>
      </c>
      <c r="L26" s="78">
        <f>$H$26*L$23/2000-$C$6</f>
        <v>118.37348750000024</v>
      </c>
      <c r="M26" s="78">
        <f>$H$26*M$23/2000-$C$6</f>
        <v>220.37348750000012</v>
      </c>
    </row>
    <row r="27" spans="1:13" x14ac:dyDescent="0.15">
      <c r="A27" s="77">
        <f>Irrigated!A27</f>
        <v>5.4923999999999991</v>
      </c>
      <c r="B27" s="78">
        <f>$A$27*B$23-$F$6</f>
        <v>-8.8589568749999899</v>
      </c>
      <c r="C27" s="78">
        <f>$A$27*C$23-$F$6</f>
        <v>44.691943125000023</v>
      </c>
      <c r="D27" s="78">
        <f>$A$27*D$23-$F$6</f>
        <v>80.392543124999975</v>
      </c>
      <c r="E27" s="78">
        <f>$A$27*E$23-$F$6</f>
        <v>116.09314312499998</v>
      </c>
      <c r="F27" s="78">
        <f>$A$27*F$23-$F$6</f>
        <v>169.644043125</v>
      </c>
      <c r="H27" s="82">
        <f>Irrigated!H27</f>
        <v>459.99999999999994</v>
      </c>
      <c r="I27" s="78">
        <f>$H$27*I$23/2000-$C$6</f>
        <v>-43.12651249999999</v>
      </c>
      <c r="J27" s="78">
        <f>$H$27*J$23/2000-$C$6</f>
        <v>74.173487499999965</v>
      </c>
      <c r="K27" s="78">
        <f>$H$27*K$23/2000-$C$6</f>
        <v>152.37348750000001</v>
      </c>
      <c r="L27" s="78">
        <f>$H$27*L$23/2000-$C$6</f>
        <v>230.57348750000017</v>
      </c>
      <c r="M27" s="78">
        <f>$H$27*M$23/2000-$C$6</f>
        <v>347.87348750000001</v>
      </c>
    </row>
    <row r="28" spans="1:13" x14ac:dyDescent="0.15">
      <c r="A28" s="79">
        <f>Irrigated!A28</f>
        <v>6.2088000000000001</v>
      </c>
      <c r="B28" s="80">
        <f>$A$28*B$23-$F$6</f>
        <v>26.06554312500009</v>
      </c>
      <c r="C28" s="80">
        <f>$A$28*C$23-$F$6</f>
        <v>86.601343125000085</v>
      </c>
      <c r="D28" s="80">
        <f>$A$28*D$23-$F$6</f>
        <v>126.95854312500006</v>
      </c>
      <c r="E28" s="80">
        <f>$A$28*E$23-$F$6</f>
        <v>167.31574312500004</v>
      </c>
      <c r="F28" s="80">
        <f>$A$28*F$23-$F$6</f>
        <v>227.85154312500009</v>
      </c>
      <c r="H28" s="83">
        <f>Irrigated!H28</f>
        <v>520</v>
      </c>
      <c r="I28" s="80">
        <f>$H$28*I$23/2000-$C$6</f>
        <v>33.373487500000124</v>
      </c>
      <c r="J28" s="80">
        <f>$H$28*J$23/2000-$C$6</f>
        <v>165.97348750000015</v>
      </c>
      <c r="K28" s="80">
        <f>$H$28*K$23/2000-$C$6</f>
        <v>254.37348750000012</v>
      </c>
      <c r="L28" s="80">
        <f>$H$28*L$23/2000-$C$6</f>
        <v>342.77348750000021</v>
      </c>
      <c r="M28" s="80">
        <f>$H$28*M$23/2000-$C$6</f>
        <v>475.37348750000012</v>
      </c>
    </row>
    <row r="30" spans="1:13" x14ac:dyDescent="0.15">
      <c r="A30" s="435" t="s">
        <v>61</v>
      </c>
      <c r="B30" s="435"/>
      <c r="C30" s="435"/>
      <c r="D30" s="435"/>
      <c r="E30" s="435"/>
      <c r="F30" s="435"/>
    </row>
    <row r="31" spans="1:13" s="53" customFormat="1" ht="12" x14ac:dyDescent="0.15">
      <c r="A31" s="434" t="s">
        <v>36</v>
      </c>
      <c r="B31" s="434"/>
      <c r="C31" s="434"/>
      <c r="D31" s="434"/>
      <c r="E31" s="434"/>
      <c r="F31" s="434"/>
    </row>
    <row r="32" spans="1:13" x14ac:dyDescent="0.15">
      <c r="A32" s="67" t="s">
        <v>41</v>
      </c>
      <c r="B32" s="68">
        <v>-0.25</v>
      </c>
      <c r="C32" s="68">
        <v>-0.1</v>
      </c>
      <c r="D32" s="69" t="s">
        <v>37</v>
      </c>
      <c r="E32" s="70" t="s">
        <v>38</v>
      </c>
      <c r="F32" s="70" t="s">
        <v>39</v>
      </c>
      <c r="I32" s="53"/>
    </row>
    <row r="33" spans="1:9" x14ac:dyDescent="0.15">
      <c r="A33" s="74" t="s">
        <v>42</v>
      </c>
      <c r="B33" s="69">
        <f>0.75*D33</f>
        <v>22.5</v>
      </c>
      <c r="C33" s="69">
        <f>0.9*D33</f>
        <v>27</v>
      </c>
      <c r="D33" s="69">
        <f>E3</f>
        <v>30</v>
      </c>
      <c r="E33" s="69">
        <f>D33*1.1</f>
        <v>33</v>
      </c>
      <c r="F33" s="69">
        <f>D33*1.25</f>
        <v>37.5</v>
      </c>
      <c r="I33" s="53"/>
    </row>
    <row r="34" spans="1:9" x14ac:dyDescent="0.15">
      <c r="A34" s="75">
        <f>Irrigated!A34</f>
        <v>6.6499999999999995</v>
      </c>
      <c r="B34" s="76">
        <f>$A$34*B$33-$E$6</f>
        <v>-130.01201187499998</v>
      </c>
      <c r="C34" s="76">
        <f>$A$34*C$33-$E$6</f>
        <v>-100.087011875</v>
      </c>
      <c r="D34" s="76">
        <f>$A$34*D$33-$E$6</f>
        <v>-80.137011875000013</v>
      </c>
      <c r="E34" s="76">
        <f>$A$34*E$33-$E$6</f>
        <v>-60.187011874999996</v>
      </c>
      <c r="F34" s="76">
        <f>$A$34*F$33-$E$6</f>
        <v>-30.262011875000013</v>
      </c>
      <c r="I34" s="53"/>
    </row>
    <row r="35" spans="1:9" x14ac:dyDescent="0.15">
      <c r="A35" s="77">
        <f>Irrigated!A35</f>
        <v>8.0749999999999993</v>
      </c>
      <c r="B35" s="78">
        <f>$A$35*B$33-$E$6</f>
        <v>-97.949511875000013</v>
      </c>
      <c r="C35" s="78">
        <f>$A$35*C$33-$E$6</f>
        <v>-61.612011875000007</v>
      </c>
      <c r="D35" s="78">
        <f>$A$35*D$33-$E$6</f>
        <v>-37.387011875000013</v>
      </c>
      <c r="E35" s="78">
        <f>$A$35*E$33-$E$6</f>
        <v>-13.162011875000019</v>
      </c>
      <c r="F35" s="78">
        <f>$A$35*F$33-$E$6</f>
        <v>23.175488125000015</v>
      </c>
      <c r="I35" s="53"/>
    </row>
    <row r="36" spans="1:9" x14ac:dyDescent="0.15">
      <c r="A36" s="77">
        <f>Irrigated!A36</f>
        <v>9.5</v>
      </c>
      <c r="B36" s="78">
        <f>$A$36*B$33-$E$6</f>
        <v>-65.887011874999985</v>
      </c>
      <c r="C36" s="78">
        <f>$A$36*C$33-$E$6</f>
        <v>-23.137011874999985</v>
      </c>
      <c r="D36" s="78">
        <f>$A$36*D$33-$E$6</f>
        <v>5.3629881250000153</v>
      </c>
      <c r="E36" s="78">
        <f>$A$36*E$33-$E$6</f>
        <v>33.862988125000015</v>
      </c>
      <c r="F36" s="78">
        <f>$A$36*F$33-$E$6</f>
        <v>76.612988125000015</v>
      </c>
      <c r="I36" s="53"/>
    </row>
    <row r="37" spans="1:9" x14ac:dyDescent="0.15">
      <c r="A37" s="77">
        <f>Irrigated!A37</f>
        <v>10.924999999999999</v>
      </c>
      <c r="B37" s="78">
        <f>$A$37*B$33-$E$6</f>
        <v>-33.824511875000013</v>
      </c>
      <c r="C37" s="78">
        <f>$A$37*C$33-$E$6</f>
        <v>15.337988124999981</v>
      </c>
      <c r="D37" s="78">
        <f>$A$37*D$33-$E$6</f>
        <v>48.112988124999958</v>
      </c>
      <c r="E37" s="78">
        <f>$A$37*E$33-$E$6</f>
        <v>80.887988124999993</v>
      </c>
      <c r="F37" s="78">
        <f>$A$37*F$33-$E$6</f>
        <v>130.05048812499996</v>
      </c>
      <c r="I37" s="53"/>
    </row>
    <row r="38" spans="1:9" x14ac:dyDescent="0.15">
      <c r="A38" s="79">
        <f>Irrigated!A38</f>
        <v>12.35</v>
      </c>
      <c r="B38" s="80">
        <f>$A$38*B$33-$E$6</f>
        <v>-1.7620118749999847</v>
      </c>
      <c r="C38" s="80">
        <f>$A$38*C$33-$E$6</f>
        <v>53.812988125000004</v>
      </c>
      <c r="D38" s="80">
        <f>$A$38*D$33-$E$6</f>
        <v>90.862988125000015</v>
      </c>
      <c r="E38" s="80">
        <f>$A$38*E$33-$E$6</f>
        <v>127.91298812500003</v>
      </c>
      <c r="F38" s="80">
        <f>$A$38*F$33-$E$6</f>
        <v>183.48798812500002</v>
      </c>
      <c r="I38" s="53"/>
    </row>
    <row r="39" spans="1:9" s="53" customFormat="1" ht="12" x14ac:dyDescent="0.15"/>
    <row r="49" s="53" customFormat="1" ht="12" x14ac:dyDescent="0.15"/>
    <row r="59" s="53" customFormat="1" ht="12" x14ac:dyDescent="0.15"/>
  </sheetData>
  <sheetProtection sheet="1" objects="1" scenarios="1"/>
  <mergeCells count="13">
    <mergeCell ref="B1:F1"/>
    <mergeCell ref="A31:F31"/>
    <mergeCell ref="A20:F20"/>
    <mergeCell ref="A21:F21"/>
    <mergeCell ref="A7:M7"/>
    <mergeCell ref="H21:M21"/>
    <mergeCell ref="A10:F10"/>
    <mergeCell ref="A11:F11"/>
    <mergeCell ref="A30:F30"/>
    <mergeCell ref="H10:M10"/>
    <mergeCell ref="H11:M11"/>
    <mergeCell ref="A9:M9"/>
    <mergeCell ref="H20:M20"/>
  </mergeCells>
  <phoneticPr fontId="2" type="noConversion"/>
  <conditionalFormatting sqref="B14:F18 I14:M18 B24:F28 I24:M28 B34:F38">
    <cfRule type="cellIs" dxfId="0" priority="1" stopIfTrue="1" operator="greaterThanOrEqual">
      <formula>0</formula>
    </cfRule>
  </conditionalFormatting>
  <printOptions horizontalCentered="1" verticalCentered="1"/>
  <pageMargins left="0.5" right="0.5" top="0.5" bottom="0.5" header="0.5" footer="0.5"/>
  <pageSetup orientation="landscape" horizontalDpi="300" verticalDpi="300"/>
  <headerFooter alignWithMargins="0">
    <oddFooter>&amp;L&amp;G</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BE422"/>
  <sheetViews>
    <sheetView tabSelected="1" zoomScaleNormal="100" zoomScaleSheetLayoutView="87" workbookViewId="0">
      <selection activeCell="A3" sqref="A3"/>
    </sheetView>
  </sheetViews>
  <sheetFormatPr baseColWidth="10" defaultColWidth="8.83203125" defaultRowHeight="14" x14ac:dyDescent="0.2"/>
  <cols>
    <col min="1" max="1" width="29.1640625" style="87" customWidth="1"/>
    <col min="2" max="2" width="7.5" style="91" bestFit="1" customWidth="1"/>
    <col min="3" max="3" width="3" style="91" bestFit="1" customWidth="1"/>
    <col min="4" max="4" width="5.5" style="91" bestFit="1" customWidth="1"/>
    <col min="5" max="5" width="4" style="91" bestFit="1" customWidth="1"/>
    <col min="6" max="6" width="5.5" style="91" bestFit="1" customWidth="1"/>
    <col min="7" max="7" width="3.5" style="91" bestFit="1" customWidth="1"/>
    <col min="8" max="8" width="8" style="91" bestFit="1" customWidth="1"/>
    <col min="9" max="10" width="5.83203125" style="91" bestFit="1" customWidth="1"/>
    <col min="11" max="11" width="3.5" style="91" bestFit="1" customWidth="1"/>
    <col min="12" max="12" width="5.6640625" style="91" bestFit="1" customWidth="1"/>
    <col min="13" max="13" width="3.5" style="91" customWidth="1"/>
    <col min="14" max="14" width="5.5" style="91" bestFit="1" customWidth="1"/>
    <col min="15" max="15" width="3" style="91" bestFit="1" customWidth="1"/>
    <col min="16" max="16" width="5.5" style="91" bestFit="1" customWidth="1"/>
    <col min="17" max="17" width="4" style="91" bestFit="1" customWidth="1"/>
    <col min="18" max="18" width="5.83203125" style="91" bestFit="1" customWidth="1"/>
    <col min="19" max="19" width="3.5" style="91" bestFit="1" customWidth="1"/>
    <col min="20" max="20" width="5.5" style="91" bestFit="1" customWidth="1"/>
    <col min="21" max="21" width="3.5" style="91" bestFit="1" customWidth="1"/>
    <col min="22" max="22" width="5.5" style="91" bestFit="1" customWidth="1"/>
    <col min="23" max="23" width="3.5" style="91" bestFit="1" customWidth="1"/>
    <col min="24" max="24" width="5.5" style="91" bestFit="1" customWidth="1"/>
    <col min="25" max="25" width="3.5" style="91" customWidth="1"/>
    <col min="26" max="26" width="5.5" style="91" bestFit="1" customWidth="1"/>
    <col min="27" max="27" width="3.5" style="91" customWidth="1"/>
    <col min="28" max="28" width="5.5" style="91" bestFit="1" customWidth="1"/>
    <col min="29" max="29" width="6.5" style="91" bestFit="1" customWidth="1"/>
    <col min="30" max="30" width="8.83203125" style="91"/>
    <col min="31" max="57" width="8.83203125" style="90"/>
    <col min="58" max="16384" width="8.83203125" style="91"/>
  </cols>
  <sheetData>
    <row r="1" spans="1:57" ht="14" customHeight="1" x14ac:dyDescent="0.2">
      <c r="A1" s="85" t="s">
        <v>194</v>
      </c>
      <c r="B1" s="148"/>
      <c r="C1" s="148"/>
      <c r="D1" s="148"/>
      <c r="E1" s="148"/>
      <c r="F1" s="148"/>
      <c r="G1" s="148"/>
      <c r="H1" s="305"/>
      <c r="I1" s="377" t="s">
        <v>193</v>
      </c>
      <c r="J1" s="377"/>
      <c r="K1" s="377"/>
      <c r="L1" s="377"/>
      <c r="M1" s="377"/>
      <c r="N1" s="377"/>
      <c r="O1" s="377"/>
      <c r="P1" s="377"/>
      <c r="Q1" s="377"/>
      <c r="R1" s="377"/>
      <c r="S1" s="377"/>
      <c r="T1" s="377"/>
      <c r="U1" s="377"/>
      <c r="V1" s="377"/>
      <c r="W1" s="377"/>
      <c r="X1" s="377"/>
      <c r="Y1" s="377"/>
      <c r="Z1" s="148"/>
      <c r="AA1" s="148"/>
      <c r="AB1" s="148"/>
      <c r="AC1" s="90"/>
      <c r="AD1" s="90"/>
      <c r="BE1" s="91"/>
    </row>
    <row r="2" spans="1:57" s="290" customFormat="1" ht="11" customHeight="1" x14ac:dyDescent="0.2">
      <c r="A2" s="288" t="s">
        <v>190</v>
      </c>
      <c r="B2" s="288"/>
      <c r="C2" s="288"/>
      <c r="D2" s="288"/>
      <c r="E2" s="288"/>
      <c r="F2" s="288"/>
      <c r="G2" s="288"/>
      <c r="H2" s="306"/>
      <c r="I2" s="378"/>
      <c r="J2" s="378"/>
      <c r="K2" s="378"/>
      <c r="L2" s="378"/>
      <c r="M2" s="378"/>
      <c r="N2" s="378"/>
      <c r="O2" s="378"/>
      <c r="P2" s="378"/>
      <c r="Q2" s="378"/>
      <c r="R2" s="378"/>
      <c r="S2" s="378"/>
      <c r="T2" s="378"/>
      <c r="U2" s="378"/>
      <c r="V2" s="378"/>
      <c r="W2" s="378"/>
      <c r="X2" s="378"/>
      <c r="Y2" s="378"/>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row>
    <row r="3" spans="1:57" x14ac:dyDescent="0.2">
      <c r="A3" s="211" t="s">
        <v>195</v>
      </c>
      <c r="B3" s="286"/>
      <c r="C3" s="286"/>
      <c r="D3" s="286"/>
      <c r="E3" s="286"/>
      <c r="F3" s="286"/>
      <c r="G3" s="286"/>
      <c r="H3" s="286"/>
      <c r="I3" s="286"/>
      <c r="J3" s="286"/>
      <c r="K3" s="286"/>
      <c r="L3" s="286"/>
      <c r="M3" s="286"/>
      <c r="N3" s="286"/>
      <c r="O3" s="286"/>
      <c r="P3" s="286"/>
      <c r="Q3" s="286"/>
      <c r="R3" s="286"/>
      <c r="S3" s="286"/>
      <c r="T3" s="286"/>
      <c r="U3" s="286"/>
      <c r="V3" s="286"/>
      <c r="W3" s="286"/>
      <c r="X3" s="286"/>
      <c r="Y3" s="287"/>
      <c r="Z3" s="90"/>
      <c r="AA3" s="90"/>
      <c r="AB3" s="90"/>
      <c r="AC3" s="90"/>
      <c r="AD3" s="90"/>
      <c r="AZ3" s="91"/>
      <c r="BA3" s="91"/>
      <c r="BB3" s="91"/>
      <c r="BC3" s="91"/>
      <c r="BD3" s="91"/>
      <c r="BE3" s="91"/>
    </row>
    <row r="4" spans="1:57" x14ac:dyDescent="0.2">
      <c r="A4" s="160" t="s">
        <v>25</v>
      </c>
      <c r="B4" s="379" t="s">
        <v>0</v>
      </c>
      <c r="C4" s="380"/>
      <c r="D4" s="380"/>
      <c r="E4" s="380"/>
      <c r="F4" s="380"/>
      <c r="G4" s="380"/>
      <c r="H4" s="380"/>
      <c r="I4" s="380"/>
      <c r="J4" s="380"/>
      <c r="K4" s="380"/>
      <c r="L4" s="379" t="s">
        <v>1</v>
      </c>
      <c r="M4" s="380"/>
      <c r="N4" s="380"/>
      <c r="O4" s="380"/>
      <c r="P4" s="380"/>
      <c r="Q4" s="380"/>
      <c r="R4" s="380"/>
      <c r="S4" s="380"/>
      <c r="T4" s="380"/>
      <c r="U4" s="380"/>
      <c r="V4" s="380"/>
      <c r="W4" s="380"/>
      <c r="X4" s="380"/>
      <c r="Y4" s="381"/>
      <c r="Z4" s="90"/>
      <c r="AA4" s="90"/>
      <c r="AB4" s="90"/>
      <c r="AC4" s="90"/>
      <c r="AD4" s="90"/>
      <c r="BA4" s="91"/>
      <c r="BB4" s="91"/>
      <c r="BC4" s="91"/>
      <c r="BD4" s="91"/>
      <c r="BE4" s="91"/>
    </row>
    <row r="5" spans="1:57" s="150" customFormat="1" x14ac:dyDescent="0.2">
      <c r="A5" s="161"/>
      <c r="B5" s="366"/>
      <c r="C5" s="367"/>
      <c r="D5" s="365"/>
      <c r="E5" s="365"/>
      <c r="F5" s="368"/>
      <c r="G5" s="368"/>
      <c r="H5" s="368"/>
      <c r="I5" s="368"/>
      <c r="J5" s="375" t="s">
        <v>23</v>
      </c>
      <c r="K5" s="367"/>
      <c r="L5" s="366"/>
      <c r="M5" s="367"/>
      <c r="N5" s="365"/>
      <c r="O5" s="365"/>
      <c r="P5" s="368"/>
      <c r="Q5" s="368"/>
      <c r="R5" s="368"/>
      <c r="S5" s="368"/>
      <c r="T5" s="368" t="s">
        <v>23</v>
      </c>
      <c r="U5" s="368"/>
      <c r="V5" s="368" t="s">
        <v>22</v>
      </c>
      <c r="W5" s="368"/>
      <c r="X5" s="367"/>
      <c r="Y5" s="36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row>
    <row r="6" spans="1:57" s="150" customFormat="1" x14ac:dyDescent="0.2">
      <c r="A6" s="161"/>
      <c r="B6" s="373" t="s">
        <v>2</v>
      </c>
      <c r="C6" s="371"/>
      <c r="D6" s="374" t="s">
        <v>3</v>
      </c>
      <c r="E6" s="374"/>
      <c r="F6" s="370" t="s">
        <v>4</v>
      </c>
      <c r="G6" s="370"/>
      <c r="H6" s="370" t="s">
        <v>5</v>
      </c>
      <c r="I6" s="370"/>
      <c r="J6" s="376" t="s">
        <v>6</v>
      </c>
      <c r="K6" s="371"/>
      <c r="L6" s="373" t="s">
        <v>2</v>
      </c>
      <c r="M6" s="371"/>
      <c r="N6" s="374" t="s">
        <v>3</v>
      </c>
      <c r="O6" s="374"/>
      <c r="P6" s="370" t="s">
        <v>4</v>
      </c>
      <c r="Q6" s="370"/>
      <c r="R6" s="370" t="s">
        <v>5</v>
      </c>
      <c r="S6" s="370"/>
      <c r="T6" s="370" t="s">
        <v>6</v>
      </c>
      <c r="U6" s="370"/>
      <c r="V6" s="370" t="s">
        <v>7</v>
      </c>
      <c r="W6" s="370"/>
      <c r="X6" s="371" t="s">
        <v>7</v>
      </c>
      <c r="Y6" s="372"/>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row>
    <row r="7" spans="1:57" x14ac:dyDescent="0.2">
      <c r="A7" s="98" t="s">
        <v>154</v>
      </c>
      <c r="B7" s="267">
        <v>1200</v>
      </c>
      <c r="C7" s="266" t="s">
        <v>158</v>
      </c>
      <c r="D7" s="257">
        <f>'Peanut Price Calculator'!B10</f>
        <v>4700</v>
      </c>
      <c r="E7" s="258" t="s">
        <v>158</v>
      </c>
      <c r="F7" s="261">
        <v>200</v>
      </c>
      <c r="G7" s="262" t="s">
        <v>161</v>
      </c>
      <c r="H7" s="261">
        <v>60</v>
      </c>
      <c r="I7" s="262" t="s">
        <v>161</v>
      </c>
      <c r="J7" s="261">
        <v>100</v>
      </c>
      <c r="K7" s="266" t="s">
        <v>161</v>
      </c>
      <c r="L7" s="268">
        <v>750</v>
      </c>
      <c r="M7" s="266" t="s">
        <v>158</v>
      </c>
      <c r="N7" s="257">
        <f>'Peanut Price Calculator'!B21</f>
        <v>3400</v>
      </c>
      <c r="O7" s="258" t="s">
        <v>158</v>
      </c>
      <c r="P7" s="261">
        <v>85</v>
      </c>
      <c r="Q7" s="262" t="s">
        <v>161</v>
      </c>
      <c r="R7" s="261">
        <v>30</v>
      </c>
      <c r="S7" s="262" t="s">
        <v>161</v>
      </c>
      <c r="T7" s="261">
        <v>65</v>
      </c>
      <c r="U7" s="262" t="s">
        <v>161</v>
      </c>
      <c r="V7" s="261">
        <v>75</v>
      </c>
      <c r="W7" s="262" t="s">
        <v>161</v>
      </c>
      <c r="X7" s="263">
        <v>55</v>
      </c>
      <c r="Y7" s="264" t="s">
        <v>161</v>
      </c>
      <c r="Z7" s="90"/>
      <c r="AA7" s="90"/>
      <c r="AB7" s="90"/>
      <c r="AC7" s="90"/>
      <c r="AD7" s="90"/>
      <c r="BB7" s="91"/>
      <c r="BC7" s="91"/>
      <c r="BD7" s="91"/>
      <c r="BE7" s="91"/>
    </row>
    <row r="8" spans="1:57" ht="15" thickBot="1" x14ac:dyDescent="0.25">
      <c r="A8" s="99" t="s">
        <v>124</v>
      </c>
      <c r="B8" s="256">
        <v>0.67500000000000004</v>
      </c>
      <c r="C8" s="255" t="s">
        <v>159</v>
      </c>
      <c r="D8" s="259">
        <f>'Peanut Price Calculator'!B17</f>
        <v>400</v>
      </c>
      <c r="E8" s="260" t="s">
        <v>160</v>
      </c>
      <c r="F8" s="252">
        <v>4.8</v>
      </c>
      <c r="G8" s="249" t="s">
        <v>162</v>
      </c>
      <c r="H8" s="252">
        <v>9.5</v>
      </c>
      <c r="I8" s="249" t="s">
        <v>162</v>
      </c>
      <c r="J8" s="252">
        <f>0.995*F8</f>
        <v>4.7759999999999998</v>
      </c>
      <c r="K8" s="255" t="s">
        <v>162</v>
      </c>
      <c r="L8" s="282">
        <f>B8</f>
        <v>0.67500000000000004</v>
      </c>
      <c r="M8" s="255" t="s">
        <v>159</v>
      </c>
      <c r="N8" s="259">
        <f>'Peanut Price Calculator'!B28</f>
        <v>400</v>
      </c>
      <c r="O8" s="260" t="s">
        <v>160</v>
      </c>
      <c r="P8" s="248">
        <f>F8</f>
        <v>4.8</v>
      </c>
      <c r="Q8" s="249" t="s">
        <v>162</v>
      </c>
      <c r="R8" s="248">
        <f>H8</f>
        <v>9.5</v>
      </c>
      <c r="S8" s="249" t="s">
        <v>162</v>
      </c>
      <c r="T8" s="248">
        <f>J8</f>
        <v>4.7759999999999998</v>
      </c>
      <c r="U8" s="249" t="s">
        <v>162</v>
      </c>
      <c r="V8" s="252">
        <v>5.5</v>
      </c>
      <c r="W8" s="249" t="s">
        <v>162</v>
      </c>
      <c r="X8" s="250">
        <v>5.5</v>
      </c>
      <c r="Y8" s="251" t="s">
        <v>162</v>
      </c>
      <c r="Z8" s="90"/>
      <c r="AA8" s="90"/>
      <c r="AB8" s="90"/>
      <c r="AC8" s="90"/>
      <c r="AD8" s="90"/>
      <c r="BB8" s="91"/>
      <c r="BC8" s="91"/>
      <c r="BD8" s="91"/>
      <c r="BE8" s="91"/>
    </row>
    <row r="9" spans="1:57" x14ac:dyDescent="0.2">
      <c r="A9" s="100" t="s">
        <v>155</v>
      </c>
      <c r="B9" s="360">
        <f>B7*B8</f>
        <v>810</v>
      </c>
      <c r="C9" s="353"/>
      <c r="D9" s="355">
        <f>D8*(D7/2000)</f>
        <v>940</v>
      </c>
      <c r="E9" s="355"/>
      <c r="F9" s="355">
        <f>F7*F8</f>
        <v>960</v>
      </c>
      <c r="G9" s="355"/>
      <c r="H9" s="355">
        <f>H7*H8</f>
        <v>570</v>
      </c>
      <c r="I9" s="355"/>
      <c r="J9" s="362">
        <f>J7*J8</f>
        <v>477.59999999999997</v>
      </c>
      <c r="K9" s="353"/>
      <c r="L9" s="360">
        <f>L7*L8</f>
        <v>506.25000000000006</v>
      </c>
      <c r="M9" s="353"/>
      <c r="N9" s="355">
        <f>N8*(N7/2000)</f>
        <v>680</v>
      </c>
      <c r="O9" s="355"/>
      <c r="P9" s="355">
        <f>P7*P8</f>
        <v>408</v>
      </c>
      <c r="Q9" s="355"/>
      <c r="R9" s="355">
        <f>R7*R8</f>
        <v>285</v>
      </c>
      <c r="S9" s="355"/>
      <c r="T9" s="355">
        <f>T7*T8</f>
        <v>310.44</v>
      </c>
      <c r="U9" s="355"/>
      <c r="V9" s="355">
        <f>V7*V8</f>
        <v>412.5</v>
      </c>
      <c r="W9" s="355"/>
      <c r="X9" s="353">
        <f>X7*X8</f>
        <v>302.5</v>
      </c>
      <c r="Y9" s="354"/>
      <c r="Z9" s="90"/>
      <c r="AA9" s="90"/>
      <c r="AB9" s="90"/>
      <c r="AC9" s="90"/>
      <c r="AD9" s="90"/>
      <c r="BB9" s="91"/>
      <c r="BC9" s="91"/>
      <c r="BD9" s="91"/>
      <c r="BE9" s="91"/>
    </row>
    <row r="10" spans="1:57" x14ac:dyDescent="0.2">
      <c r="A10" s="101" t="s">
        <v>156</v>
      </c>
      <c r="B10" s="350"/>
      <c r="C10" s="347"/>
      <c r="D10" s="349"/>
      <c r="E10" s="349"/>
      <c r="F10" s="349"/>
      <c r="G10" s="349"/>
      <c r="H10" s="349"/>
      <c r="I10" s="349"/>
      <c r="J10" s="358"/>
      <c r="K10" s="347"/>
      <c r="L10" s="350"/>
      <c r="M10" s="347"/>
      <c r="N10" s="349"/>
      <c r="O10" s="349"/>
      <c r="P10" s="349"/>
      <c r="Q10" s="349"/>
      <c r="R10" s="349"/>
      <c r="S10" s="349"/>
      <c r="T10" s="349"/>
      <c r="U10" s="349"/>
      <c r="V10" s="278"/>
      <c r="W10" s="277"/>
      <c r="X10" s="347"/>
      <c r="Y10" s="348"/>
      <c r="Z10" s="90"/>
      <c r="AA10" s="90"/>
      <c r="AB10" s="90"/>
      <c r="AC10" s="90"/>
      <c r="AD10" s="90"/>
      <c r="BB10" s="91"/>
      <c r="BC10" s="91"/>
      <c r="BD10" s="91"/>
      <c r="BE10" s="91"/>
    </row>
    <row r="11" spans="1:57" x14ac:dyDescent="0.2">
      <c r="A11" s="95" t="s">
        <v>24</v>
      </c>
      <c r="B11" s="361">
        <v>103.82</v>
      </c>
      <c r="C11" s="351"/>
      <c r="D11" s="356">
        <v>117</v>
      </c>
      <c r="E11" s="357"/>
      <c r="F11" s="359">
        <v>128</v>
      </c>
      <c r="G11" s="359"/>
      <c r="H11" s="356">
        <v>68</v>
      </c>
      <c r="I11" s="357"/>
      <c r="J11" s="356">
        <v>27</v>
      </c>
      <c r="K11" s="351"/>
      <c r="L11" s="361">
        <v>103.82</v>
      </c>
      <c r="M11" s="351"/>
      <c r="N11" s="359">
        <v>117</v>
      </c>
      <c r="O11" s="359"/>
      <c r="P11" s="359">
        <v>80</v>
      </c>
      <c r="Q11" s="359"/>
      <c r="R11" s="356">
        <f>H11</f>
        <v>68</v>
      </c>
      <c r="S11" s="357"/>
      <c r="T11" s="359">
        <v>16.5</v>
      </c>
      <c r="U11" s="359"/>
      <c r="V11" s="359">
        <v>68.75</v>
      </c>
      <c r="W11" s="359"/>
      <c r="X11" s="351">
        <v>45</v>
      </c>
      <c r="Y11" s="352"/>
      <c r="Z11" s="90"/>
      <c r="AA11" s="90"/>
      <c r="AB11" s="90"/>
      <c r="AC11" s="90"/>
      <c r="AD11" s="90"/>
      <c r="BB11" s="91"/>
      <c r="BC11" s="91"/>
      <c r="BD11" s="91"/>
      <c r="BE11" s="91"/>
    </row>
    <row r="12" spans="1:57" x14ac:dyDescent="0.2">
      <c r="A12" s="95" t="s">
        <v>8</v>
      </c>
      <c r="B12" s="322">
        <f>B7/495*0.75</f>
        <v>1.8181818181818183</v>
      </c>
      <c r="C12" s="323"/>
      <c r="D12" s="313"/>
      <c r="E12" s="313"/>
      <c r="F12" s="313"/>
      <c r="G12" s="313"/>
      <c r="H12" s="313"/>
      <c r="I12" s="313"/>
      <c r="J12" s="323"/>
      <c r="K12" s="323"/>
      <c r="L12" s="322">
        <f>L7/495*0.75</f>
        <v>1.1363636363636362</v>
      </c>
      <c r="M12" s="323"/>
      <c r="N12" s="313"/>
      <c r="O12" s="313"/>
      <c r="P12" s="313"/>
      <c r="Q12" s="313"/>
      <c r="R12" s="313"/>
      <c r="S12" s="313"/>
      <c r="T12" s="313"/>
      <c r="U12" s="313"/>
      <c r="V12" s="313"/>
      <c r="W12" s="313"/>
      <c r="X12" s="323"/>
      <c r="Y12" s="330"/>
      <c r="Z12" s="90"/>
      <c r="AA12" s="90"/>
      <c r="AB12" s="90"/>
      <c r="AC12" s="90"/>
      <c r="AD12" s="90"/>
      <c r="BB12" s="91"/>
      <c r="BC12" s="91"/>
      <c r="BD12" s="91"/>
      <c r="BE12" s="91"/>
    </row>
    <row r="13" spans="1:57" x14ac:dyDescent="0.2">
      <c r="A13" s="95" t="s">
        <v>27</v>
      </c>
      <c r="B13" s="322">
        <f>14.56+6.58+B7*0.075*$D$46+0.0583*B7*$F$46+0.0583*B7*$H$46</f>
        <v>169.09400000000002</v>
      </c>
      <c r="C13" s="323"/>
      <c r="D13" s="313">
        <f>6.25+58.75+7.78</f>
        <v>72.78</v>
      </c>
      <c r="E13" s="313"/>
      <c r="F13" s="313">
        <f>29.13+F7*1.2*$D$46+F7*0.5*$F$46+F7*$H$46</f>
        <v>364.13</v>
      </c>
      <c r="G13" s="313"/>
      <c r="H13" s="313">
        <f>9.25+19.22+0.6667*H7*$F$46+1.333*H7*$H$46+6.58</f>
        <v>97.043499999999995</v>
      </c>
      <c r="I13" s="313"/>
      <c r="J13" s="323">
        <f>29.13+1.25*J7*$D$46+0.6*J7*$F$46+0.9*J7*$H$46</f>
        <v>203.88</v>
      </c>
      <c r="K13" s="323"/>
      <c r="L13" s="322">
        <f>14.56+6.58+0.08*L7*$D$46+0.0667*L7*$F$46+0.0667*L7*$H$46</f>
        <v>123.66875</v>
      </c>
      <c r="M13" s="323"/>
      <c r="N13" s="313">
        <f>6.25+58.75+7.78</f>
        <v>72.78</v>
      </c>
      <c r="O13" s="313"/>
      <c r="P13" s="313">
        <f>14.56+P7*1.1765*$D$46+0.4706*P7*$F$46+0.7059*P7*$H$46</f>
        <v>143.56322500000002</v>
      </c>
      <c r="Q13" s="313"/>
      <c r="R13" s="310">
        <f>9.25+19.22+1.3333*R7*$F$46+2.6667*R7*$H$46+6.58</f>
        <v>97.04965</v>
      </c>
      <c r="S13" s="311"/>
      <c r="T13" s="313">
        <f>14.56+1.2308*T7*$D$46+0.6154*T7*$F$46+0.9231*T7*$H$46</f>
        <v>128.56285</v>
      </c>
      <c r="U13" s="313"/>
      <c r="V13" s="313">
        <f>14.56+1.6*V7*$D$46+0.6667*V7*$F$46+0.8*V7*$H$46</f>
        <v>166.06187499999999</v>
      </c>
      <c r="W13" s="313"/>
      <c r="X13" s="323">
        <f>14.56+1.4545*X7*$D$46+0.7273*X7*$F$46+0.7273*X7*$H$46</f>
        <v>120.55985</v>
      </c>
      <c r="Y13" s="330"/>
      <c r="Z13" s="90"/>
      <c r="AA13" s="283"/>
      <c r="AB13" s="90"/>
      <c r="AC13" s="90"/>
      <c r="AD13" s="90"/>
      <c r="BB13" s="91"/>
      <c r="BC13" s="91"/>
      <c r="BD13" s="91"/>
      <c r="BE13" s="91"/>
    </row>
    <row r="14" spans="1:57" x14ac:dyDescent="0.2">
      <c r="A14" s="95" t="s">
        <v>125</v>
      </c>
      <c r="B14" s="322"/>
      <c r="C14" s="323"/>
      <c r="D14" s="313"/>
      <c r="E14" s="313"/>
      <c r="F14" s="313"/>
      <c r="G14" s="313"/>
      <c r="H14" s="313"/>
      <c r="I14" s="313"/>
      <c r="J14" s="323"/>
      <c r="K14" s="323"/>
      <c r="L14" s="322"/>
      <c r="M14" s="323"/>
      <c r="N14" s="313"/>
      <c r="O14" s="313"/>
      <c r="P14" s="313"/>
      <c r="Q14" s="313"/>
      <c r="R14" s="313"/>
      <c r="S14" s="313"/>
      <c r="T14" s="313"/>
      <c r="U14" s="313"/>
      <c r="V14" s="313"/>
      <c r="W14" s="313"/>
      <c r="X14" s="323"/>
      <c r="Y14" s="330"/>
      <c r="Z14" s="90"/>
      <c r="AA14" s="283"/>
      <c r="AB14" s="90"/>
      <c r="AC14" s="90"/>
      <c r="AD14" s="90"/>
      <c r="BB14" s="91"/>
      <c r="BC14" s="91"/>
      <c r="BD14" s="91"/>
      <c r="BE14" s="91"/>
    </row>
    <row r="15" spans="1:57" x14ac:dyDescent="0.2">
      <c r="A15" s="95" t="s">
        <v>9</v>
      </c>
      <c r="B15" s="322">
        <f>65.49+17.2+19.26+2.4+12.64</f>
        <v>116.99000000000001</v>
      </c>
      <c r="C15" s="323"/>
      <c r="D15" s="313">
        <f>50.04+51.4+85.11</f>
        <v>186.55</v>
      </c>
      <c r="E15" s="313"/>
      <c r="F15" s="313">
        <f>15.74+6.27+13.86</f>
        <v>35.869999999999997</v>
      </c>
      <c r="G15" s="313"/>
      <c r="H15" s="313">
        <f>44.78+2.05+15.84</f>
        <v>62.67</v>
      </c>
      <c r="I15" s="313"/>
      <c r="J15" s="323">
        <f>18.54+12.03</f>
        <v>30.57</v>
      </c>
      <c r="K15" s="323"/>
      <c r="L15" s="322">
        <f>61.31+17.2+19.26+1.3+12.64</f>
        <v>111.71000000000001</v>
      </c>
      <c r="M15" s="323"/>
      <c r="N15" s="313">
        <f>76.42+51.4+49.26</f>
        <v>177.07999999999998</v>
      </c>
      <c r="O15" s="313"/>
      <c r="P15" s="313">
        <f>15.74+6.27+13.86</f>
        <v>35.869999999999997</v>
      </c>
      <c r="Q15" s="313"/>
      <c r="R15" s="313">
        <f>44.78+2.05</f>
        <v>46.83</v>
      </c>
      <c r="S15" s="313"/>
      <c r="T15" s="313">
        <f>J15</f>
        <v>30.57</v>
      </c>
      <c r="U15" s="313"/>
      <c r="V15" s="313">
        <f>22.05+0.6+55.97</f>
        <v>78.62</v>
      </c>
      <c r="W15" s="313"/>
      <c r="X15" s="323">
        <f>16.73+0.6+50.69</f>
        <v>68.02</v>
      </c>
      <c r="Y15" s="330"/>
      <c r="Z15" s="90"/>
      <c r="AA15" s="283"/>
      <c r="AB15" s="90"/>
      <c r="AC15" s="90"/>
      <c r="AD15" s="90"/>
      <c r="BB15" s="91"/>
      <c r="BC15" s="91"/>
      <c r="BD15" s="91"/>
      <c r="BE15" s="91"/>
    </row>
    <row r="16" spans="1:57" x14ac:dyDescent="0.2">
      <c r="A16" s="95" t="s">
        <v>172</v>
      </c>
      <c r="B16" s="212"/>
      <c r="C16" s="213"/>
      <c r="D16" s="310"/>
      <c r="E16" s="311"/>
      <c r="F16" s="310"/>
      <c r="G16" s="311"/>
      <c r="H16" s="310"/>
      <c r="I16" s="311"/>
      <c r="J16" s="213"/>
      <c r="K16" s="213"/>
      <c r="L16" s="212"/>
      <c r="M16" s="213"/>
      <c r="N16" s="310"/>
      <c r="O16" s="311"/>
      <c r="P16" s="310"/>
      <c r="Q16" s="311"/>
      <c r="R16" s="310"/>
      <c r="S16" s="311"/>
      <c r="T16" s="310"/>
      <c r="U16" s="311"/>
      <c r="V16" s="310">
        <v>8.5</v>
      </c>
      <c r="W16" s="311"/>
      <c r="X16" s="310">
        <v>8.5</v>
      </c>
      <c r="Y16" s="330"/>
      <c r="Z16" s="90"/>
      <c r="AA16" s="90"/>
      <c r="AB16" s="90"/>
      <c r="AC16" s="90"/>
      <c r="AD16" s="90"/>
      <c r="BB16" s="91"/>
      <c r="BC16" s="91"/>
      <c r="BD16" s="91"/>
      <c r="BE16" s="91"/>
    </row>
    <row r="17" spans="1:57" x14ac:dyDescent="0.2">
      <c r="A17" s="95" t="s">
        <v>173</v>
      </c>
      <c r="B17" s="322">
        <v>10</v>
      </c>
      <c r="C17" s="323"/>
      <c r="D17" s="313">
        <v>10</v>
      </c>
      <c r="E17" s="313"/>
      <c r="F17" s="313"/>
      <c r="G17" s="313"/>
      <c r="H17" s="313"/>
      <c r="I17" s="313"/>
      <c r="J17" s="323"/>
      <c r="K17" s="323"/>
      <c r="L17" s="322">
        <v>10</v>
      </c>
      <c r="M17" s="323"/>
      <c r="N17" s="313">
        <v>10</v>
      </c>
      <c r="O17" s="313"/>
      <c r="P17" s="313"/>
      <c r="Q17" s="313"/>
      <c r="R17" s="313"/>
      <c r="S17" s="313"/>
      <c r="T17" s="313"/>
      <c r="U17" s="313"/>
      <c r="V17" s="313"/>
      <c r="W17" s="313"/>
      <c r="X17" s="323"/>
      <c r="Y17" s="330"/>
      <c r="Z17" s="90"/>
      <c r="AA17" s="90"/>
      <c r="AB17" s="90"/>
      <c r="AC17" s="90"/>
      <c r="AD17" s="90"/>
      <c r="BB17" s="91"/>
      <c r="BC17" s="91"/>
      <c r="BD17" s="91"/>
      <c r="BE17" s="91"/>
    </row>
    <row r="18" spans="1:57" x14ac:dyDescent="0.2">
      <c r="A18" s="95" t="s">
        <v>10</v>
      </c>
      <c r="B18" s="322">
        <v>10</v>
      </c>
      <c r="C18" s="323"/>
      <c r="D18" s="313">
        <v>10</v>
      </c>
      <c r="E18" s="313"/>
      <c r="F18" s="313"/>
      <c r="G18" s="313"/>
      <c r="H18" s="313"/>
      <c r="I18" s="313"/>
      <c r="J18" s="323"/>
      <c r="K18" s="323"/>
      <c r="L18" s="322">
        <v>10</v>
      </c>
      <c r="M18" s="323"/>
      <c r="N18" s="313">
        <v>10</v>
      </c>
      <c r="O18" s="313"/>
      <c r="P18" s="313"/>
      <c r="Q18" s="313"/>
      <c r="R18" s="313"/>
      <c r="S18" s="313"/>
      <c r="T18" s="313"/>
      <c r="U18" s="313"/>
      <c r="V18" s="313"/>
      <c r="W18" s="313"/>
      <c r="X18" s="323"/>
      <c r="Y18" s="330"/>
      <c r="Z18" s="90"/>
      <c r="AA18" s="90"/>
      <c r="AB18" s="90"/>
      <c r="AC18" s="90"/>
      <c r="AD18" s="90"/>
      <c r="BB18" s="91"/>
      <c r="BC18" s="91"/>
      <c r="BD18" s="91"/>
      <c r="BE18" s="91"/>
    </row>
    <row r="19" spans="1:57" x14ac:dyDescent="0.2">
      <c r="A19" s="95" t="s">
        <v>28</v>
      </c>
      <c r="B19" s="322">
        <f>(4.6+7)*$B$47</f>
        <v>34.799999999999997</v>
      </c>
      <c r="C19" s="323"/>
      <c r="D19" s="313">
        <f>(9.7+7.9)*$B$47</f>
        <v>52.800000000000004</v>
      </c>
      <c r="E19" s="313"/>
      <c r="F19" s="313">
        <f>7.8*$B$47</f>
        <v>23.4</v>
      </c>
      <c r="G19" s="313"/>
      <c r="H19" s="313">
        <f>6.9*$B$47</f>
        <v>20.700000000000003</v>
      </c>
      <c r="I19" s="313"/>
      <c r="J19" s="323">
        <f>7.8*$B$47</f>
        <v>23.4</v>
      </c>
      <c r="K19" s="323"/>
      <c r="L19" s="322">
        <f>(4.6+7)*$B$47</f>
        <v>34.799999999999997</v>
      </c>
      <c r="M19" s="323"/>
      <c r="N19" s="313">
        <f>(9.7+7.9)*$B$47</f>
        <v>52.800000000000004</v>
      </c>
      <c r="O19" s="313"/>
      <c r="P19" s="313">
        <f>7.8*B47</f>
        <v>23.4</v>
      </c>
      <c r="Q19" s="313"/>
      <c r="R19" s="313">
        <f>6.9*$B$47</f>
        <v>20.700000000000003</v>
      </c>
      <c r="S19" s="313"/>
      <c r="T19" s="313">
        <f>J19</f>
        <v>23.4</v>
      </c>
      <c r="U19" s="313"/>
      <c r="V19" s="313">
        <f>6.5*$B$47</f>
        <v>19.5</v>
      </c>
      <c r="W19" s="313"/>
      <c r="X19" s="323">
        <f>6.3*$B$47</f>
        <v>18.899999999999999</v>
      </c>
      <c r="Y19" s="330"/>
      <c r="Z19" s="90"/>
      <c r="AA19" s="90"/>
      <c r="AB19" s="90"/>
      <c r="AC19" s="90"/>
      <c r="AD19" s="90"/>
      <c r="BB19" s="91"/>
      <c r="BC19" s="91"/>
      <c r="BD19" s="91"/>
      <c r="BE19" s="91"/>
    </row>
    <row r="20" spans="1:57" x14ac:dyDescent="0.2">
      <c r="A20" s="95" t="s">
        <v>11</v>
      </c>
      <c r="B20" s="322">
        <f>1.05*(17.72+39.38)</f>
        <v>59.955000000000005</v>
      </c>
      <c r="C20" s="323"/>
      <c r="D20" s="313">
        <f>1.05*(30.8+39.7)</f>
        <v>74.025000000000006</v>
      </c>
      <c r="E20" s="313"/>
      <c r="F20" s="313">
        <f>20.6+12.09</f>
        <v>32.69</v>
      </c>
      <c r="G20" s="313"/>
      <c r="H20" s="313">
        <f>18.18+9.15</f>
        <v>27.33</v>
      </c>
      <c r="I20" s="313"/>
      <c r="J20" s="313">
        <f>21.57+8.43</f>
        <v>30</v>
      </c>
      <c r="K20" s="313"/>
      <c r="L20" s="322">
        <f>B20</f>
        <v>59.955000000000005</v>
      </c>
      <c r="M20" s="323"/>
      <c r="N20" s="313">
        <f>D20</f>
        <v>74.025000000000006</v>
      </c>
      <c r="O20" s="313"/>
      <c r="P20" s="313">
        <f>F20</f>
        <v>32.69</v>
      </c>
      <c r="Q20" s="313"/>
      <c r="R20" s="313">
        <f>H20</f>
        <v>27.33</v>
      </c>
      <c r="S20" s="313"/>
      <c r="T20" s="310">
        <f>J20</f>
        <v>30</v>
      </c>
      <c r="U20" s="323"/>
      <c r="V20" s="313">
        <f>12.57+8.34</f>
        <v>20.91</v>
      </c>
      <c r="W20" s="313"/>
      <c r="X20" s="323">
        <f>12.03+8.34</f>
        <v>20.369999999999997</v>
      </c>
      <c r="Y20" s="330"/>
      <c r="Z20" s="90"/>
      <c r="AA20" s="90"/>
      <c r="AB20" s="90"/>
      <c r="AC20" s="90"/>
      <c r="AD20" s="149"/>
      <c r="BB20" s="91"/>
      <c r="BC20" s="91"/>
      <c r="BD20" s="91"/>
      <c r="BE20" s="91"/>
    </row>
    <row r="21" spans="1:57" x14ac:dyDescent="0.2">
      <c r="A21" s="95" t="s">
        <v>29</v>
      </c>
      <c r="B21" s="322">
        <f>((8*9)*0.67+(4*$B$47*8)*0.33)</f>
        <v>79.92</v>
      </c>
      <c r="C21" s="323"/>
      <c r="D21" s="313">
        <f>((9*6)*0.67+(4*$B$47*6)*0.33)</f>
        <v>59.94</v>
      </c>
      <c r="E21" s="313"/>
      <c r="F21" s="310">
        <f>((9*8)*0.67+(4*$B$47*8)*0.33)</f>
        <v>79.92</v>
      </c>
      <c r="G21" s="311"/>
      <c r="H21" s="313">
        <f>((9*5)*0.67+(4*$B$47*5)*0.33)</f>
        <v>49.95</v>
      </c>
      <c r="I21" s="313"/>
      <c r="J21" s="310">
        <f>((9*4)*0.67+(4*$B$47*4)*0.33)</f>
        <v>39.96</v>
      </c>
      <c r="K21" s="323"/>
      <c r="L21" s="322"/>
      <c r="M21" s="323"/>
      <c r="N21" s="313"/>
      <c r="O21" s="313"/>
      <c r="P21" s="313"/>
      <c r="Q21" s="313"/>
      <c r="R21" s="313"/>
      <c r="S21" s="313"/>
      <c r="T21" s="313"/>
      <c r="U21" s="313"/>
      <c r="V21" s="310">
        <v>10</v>
      </c>
      <c r="W21" s="311"/>
      <c r="X21" s="323"/>
      <c r="Y21" s="330"/>
      <c r="Z21" s="90"/>
      <c r="AA21" s="90"/>
      <c r="AB21" s="90"/>
      <c r="AC21" s="90"/>
      <c r="AD21" s="90"/>
      <c r="BB21" s="91"/>
      <c r="BC21" s="91"/>
      <c r="BD21" s="91"/>
      <c r="BE21" s="91"/>
    </row>
    <row r="22" spans="1:57" x14ac:dyDescent="0.2">
      <c r="A22" s="95" t="s">
        <v>13</v>
      </c>
      <c r="B22" s="322">
        <v>18.96</v>
      </c>
      <c r="C22" s="323"/>
      <c r="D22" s="313">
        <v>41.29</v>
      </c>
      <c r="E22" s="313"/>
      <c r="F22" s="313">
        <v>15.89</v>
      </c>
      <c r="G22" s="313"/>
      <c r="H22" s="313">
        <v>13.74</v>
      </c>
      <c r="I22" s="313"/>
      <c r="J22" s="313">
        <v>15.97</v>
      </c>
      <c r="K22" s="313"/>
      <c r="L22" s="322">
        <v>18.96</v>
      </c>
      <c r="M22" s="323"/>
      <c r="N22" s="313">
        <v>41.29</v>
      </c>
      <c r="O22" s="313"/>
      <c r="P22" s="313">
        <f>15.89</f>
        <v>15.89</v>
      </c>
      <c r="Q22" s="313"/>
      <c r="R22" s="313">
        <v>13.74</v>
      </c>
      <c r="S22" s="313"/>
      <c r="T22" s="313">
        <v>15.97</v>
      </c>
      <c r="U22" s="313"/>
      <c r="V22" s="313">
        <v>11.31</v>
      </c>
      <c r="W22" s="313"/>
      <c r="X22" s="323">
        <v>10.8</v>
      </c>
      <c r="Y22" s="330"/>
      <c r="Z22" s="90"/>
      <c r="AA22" s="90"/>
      <c r="AB22" s="90"/>
      <c r="AC22" s="90"/>
      <c r="AD22" s="90"/>
      <c r="BB22" s="91"/>
      <c r="BC22" s="91"/>
      <c r="BD22" s="91"/>
      <c r="BE22" s="91"/>
    </row>
    <row r="23" spans="1:57" x14ac:dyDescent="0.2">
      <c r="A23" s="95" t="s">
        <v>14</v>
      </c>
      <c r="B23" s="322">
        <v>12.5</v>
      </c>
      <c r="C23" s="323"/>
      <c r="D23" s="313">
        <v>14</v>
      </c>
      <c r="E23" s="313"/>
      <c r="F23" s="313">
        <v>10</v>
      </c>
      <c r="G23" s="313"/>
      <c r="H23" s="313">
        <v>10</v>
      </c>
      <c r="I23" s="313"/>
      <c r="J23" s="323">
        <v>24</v>
      </c>
      <c r="K23" s="323"/>
      <c r="L23" s="322">
        <v>14</v>
      </c>
      <c r="M23" s="323"/>
      <c r="N23" s="313">
        <v>38</v>
      </c>
      <c r="O23" s="313"/>
      <c r="P23" s="313">
        <v>28</v>
      </c>
      <c r="Q23" s="313"/>
      <c r="R23" s="313">
        <v>12</v>
      </c>
      <c r="S23" s="313"/>
      <c r="T23" s="313">
        <v>19</v>
      </c>
      <c r="U23" s="313"/>
      <c r="V23" s="313">
        <v>14</v>
      </c>
      <c r="W23" s="313"/>
      <c r="X23" s="323">
        <v>14</v>
      </c>
      <c r="Y23" s="330"/>
      <c r="Z23" s="90"/>
      <c r="AA23" s="90"/>
      <c r="AB23" s="90"/>
      <c r="AC23" s="90"/>
      <c r="AD23" s="90"/>
      <c r="BB23" s="91"/>
      <c r="BC23" s="91"/>
      <c r="BD23" s="91"/>
      <c r="BE23" s="91"/>
    </row>
    <row r="24" spans="1:57" x14ac:dyDescent="0.2">
      <c r="A24" s="95" t="s">
        <v>126</v>
      </c>
      <c r="B24" s="322"/>
      <c r="C24" s="323"/>
      <c r="D24" s="313"/>
      <c r="E24" s="313"/>
      <c r="F24" s="313"/>
      <c r="G24" s="313"/>
      <c r="H24" s="313"/>
      <c r="I24" s="313"/>
      <c r="J24" s="323"/>
      <c r="K24" s="323"/>
      <c r="L24" s="322"/>
      <c r="M24" s="323"/>
      <c r="N24" s="313"/>
      <c r="O24" s="313"/>
      <c r="P24" s="313"/>
      <c r="Q24" s="313"/>
      <c r="R24" s="313"/>
      <c r="S24" s="313"/>
      <c r="T24" s="313"/>
      <c r="U24" s="313"/>
      <c r="V24" s="313"/>
      <c r="W24" s="313"/>
      <c r="X24" s="323"/>
      <c r="Y24" s="330"/>
      <c r="Z24" s="90"/>
      <c r="AA24" s="90"/>
      <c r="AB24" s="90"/>
      <c r="AC24" s="90"/>
      <c r="AD24" s="90"/>
      <c r="BB24" s="91"/>
      <c r="BC24" s="91"/>
      <c r="BD24" s="91"/>
      <c r="BE24" s="91"/>
    </row>
    <row r="25" spans="1:57" x14ac:dyDescent="0.2">
      <c r="A25" s="95" t="s">
        <v>16</v>
      </c>
      <c r="B25" s="322"/>
      <c r="C25" s="323"/>
      <c r="D25" s="313"/>
      <c r="E25" s="313"/>
      <c r="F25" s="313"/>
      <c r="G25" s="313"/>
      <c r="H25" s="313"/>
      <c r="I25" s="313"/>
      <c r="J25" s="323"/>
      <c r="K25" s="323"/>
      <c r="L25" s="322"/>
      <c r="M25" s="323"/>
      <c r="N25" s="313"/>
      <c r="O25" s="313"/>
      <c r="P25" s="313"/>
      <c r="Q25" s="313"/>
      <c r="R25" s="313"/>
      <c r="S25" s="313"/>
      <c r="T25" s="313"/>
      <c r="U25" s="313"/>
      <c r="V25" s="313"/>
      <c r="W25" s="313"/>
      <c r="X25" s="323"/>
      <c r="Y25" s="330"/>
      <c r="Z25" s="90"/>
      <c r="AA25" s="90"/>
      <c r="AB25" s="90"/>
      <c r="AC25" s="90"/>
      <c r="AD25" s="90"/>
      <c r="BB25" s="91"/>
      <c r="BC25" s="91"/>
      <c r="BD25" s="91"/>
      <c r="BE25" s="91"/>
    </row>
    <row r="26" spans="1:57" x14ac:dyDescent="0.2">
      <c r="A26" s="95" t="s">
        <v>17</v>
      </c>
      <c r="B26" s="363">
        <f>(SUM(B11:B25))*0.5*0.075</f>
        <v>23.16964431818182</v>
      </c>
      <c r="C26" s="341"/>
      <c r="D26" s="343">
        <f>(SUM(D11:D25))*0.5*0.075</f>
        <v>23.9394375</v>
      </c>
      <c r="E26" s="343"/>
      <c r="F26" s="343">
        <f>(SUM(F11:F25))*0.5*0.075</f>
        <v>25.871249999999993</v>
      </c>
      <c r="G26" s="343"/>
      <c r="H26" s="343">
        <v>10</v>
      </c>
      <c r="I26" s="343"/>
      <c r="J26" s="341">
        <f>(SUM(J11:J25))*0.5*0.075</f>
        <v>14.804249999999998</v>
      </c>
      <c r="K26" s="341"/>
      <c r="L26" s="363">
        <f>(SUM(L11:L25))*0.5*0.075</f>
        <v>18.301879261363634</v>
      </c>
      <c r="M26" s="341"/>
      <c r="N26" s="343">
        <f>(SUM(N11:N25))*0.5*0.075</f>
        <v>22.236562500000002</v>
      </c>
      <c r="O26" s="343"/>
      <c r="P26" s="343">
        <f>(SUM(P11:P25))*0.5*0.075</f>
        <v>13.477995937499998</v>
      </c>
      <c r="Q26" s="343"/>
      <c r="R26" s="343">
        <v>12</v>
      </c>
      <c r="S26" s="343"/>
      <c r="T26" s="343">
        <f>(SUM(T11:T25))*0.5*0.075</f>
        <v>9.9001068749999988</v>
      </c>
      <c r="U26" s="343"/>
      <c r="V26" s="343">
        <f>(SUM(V11:V25))*0.5*0.075</f>
        <v>14.9119453125</v>
      </c>
      <c r="W26" s="343"/>
      <c r="X26" s="341">
        <f>(SUM(X11:X25))*0.5*0.075</f>
        <v>11.480619374999998</v>
      </c>
      <c r="Y26" s="342"/>
      <c r="Z26" s="90"/>
      <c r="AA26" s="90"/>
      <c r="AB26" s="90"/>
      <c r="AC26" s="90"/>
      <c r="AD26" s="90"/>
      <c r="BB26" s="91"/>
      <c r="BC26" s="91"/>
      <c r="BD26" s="91"/>
      <c r="BE26" s="91"/>
    </row>
    <row r="27" spans="1:57" x14ac:dyDescent="0.2">
      <c r="A27" s="95" t="s">
        <v>171</v>
      </c>
      <c r="B27" s="363">
        <f>B7*0.01</f>
        <v>12</v>
      </c>
      <c r="C27" s="341"/>
      <c r="D27" s="343"/>
      <c r="E27" s="343"/>
      <c r="F27" s="343"/>
      <c r="G27" s="343"/>
      <c r="H27" s="343"/>
      <c r="I27" s="343"/>
      <c r="J27" s="341"/>
      <c r="K27" s="341"/>
      <c r="L27" s="363">
        <f>0.01*L7</f>
        <v>7.5</v>
      </c>
      <c r="M27" s="341"/>
      <c r="N27" s="343"/>
      <c r="O27" s="343"/>
      <c r="P27" s="343"/>
      <c r="Q27" s="343"/>
      <c r="R27" s="343"/>
      <c r="S27" s="343"/>
      <c r="T27" s="343"/>
      <c r="U27" s="343"/>
      <c r="V27" s="343"/>
      <c r="W27" s="343"/>
      <c r="X27" s="341"/>
      <c r="Y27" s="342"/>
      <c r="Z27" s="90"/>
      <c r="AA27" s="90"/>
      <c r="AB27" s="90"/>
      <c r="AC27" s="90"/>
      <c r="AD27" s="90"/>
      <c r="BB27" s="91"/>
      <c r="BC27" s="91"/>
      <c r="BD27" s="91"/>
      <c r="BE27" s="91"/>
    </row>
    <row r="28" spans="1:57" x14ac:dyDescent="0.2">
      <c r="A28" s="95" t="s">
        <v>15</v>
      </c>
      <c r="B28" s="363"/>
      <c r="C28" s="341"/>
      <c r="D28" s="343">
        <f>D7/2000*0.33*20+D7/2000*0.67*30</f>
        <v>62.745000000000005</v>
      </c>
      <c r="E28" s="343"/>
      <c r="F28" s="343">
        <f>F7*1.0975*0.28</f>
        <v>61.46</v>
      </c>
      <c r="G28" s="343"/>
      <c r="H28" s="343"/>
      <c r="I28" s="343"/>
      <c r="J28" s="341">
        <f>J7*1.0975*0.28</f>
        <v>30.73</v>
      </c>
      <c r="K28" s="341"/>
      <c r="L28" s="363"/>
      <c r="M28" s="341"/>
      <c r="N28" s="343">
        <f>N7/2000*0.33*20+N7/2000*0.67*30</f>
        <v>45.39</v>
      </c>
      <c r="O28" s="343"/>
      <c r="P28" s="343">
        <f>P7*1.0975*0.28</f>
        <v>26.1205</v>
      </c>
      <c r="Q28" s="343"/>
      <c r="R28" s="343"/>
      <c r="S28" s="343"/>
      <c r="T28" s="343">
        <f>T7*1.0975*0.28</f>
        <v>19.974499999999999</v>
      </c>
      <c r="U28" s="343"/>
      <c r="V28" s="343">
        <f>V7*1.03*0.095</f>
        <v>7.3387500000000001</v>
      </c>
      <c r="W28" s="343"/>
      <c r="X28" s="341">
        <f>X7*1.03*0.095</f>
        <v>5.3817500000000003</v>
      </c>
      <c r="Y28" s="342"/>
      <c r="Z28" s="90"/>
      <c r="AA28" s="90"/>
      <c r="AB28" s="90"/>
      <c r="AC28" s="90"/>
      <c r="AD28" s="90"/>
      <c r="BB28" s="91"/>
      <c r="BC28" s="91"/>
      <c r="BD28" s="91"/>
      <c r="BE28" s="91"/>
    </row>
    <row r="29" spans="1:57" x14ac:dyDescent="0.2">
      <c r="A29" s="95" t="s">
        <v>18</v>
      </c>
      <c r="B29" s="324"/>
      <c r="C29" s="325"/>
      <c r="D29" s="314">
        <f>D7/2000*3+D7/2000*355*0.01</f>
        <v>15.3925</v>
      </c>
      <c r="E29" s="314"/>
      <c r="F29" s="314"/>
      <c r="G29" s="314"/>
      <c r="H29" s="314"/>
      <c r="I29" s="314"/>
      <c r="J29" s="325"/>
      <c r="K29" s="325"/>
      <c r="L29" s="324"/>
      <c r="M29" s="325"/>
      <c r="N29" s="314">
        <f>N7/2000*3+N7/2000*355*0.01</f>
        <v>11.135</v>
      </c>
      <c r="O29" s="314"/>
      <c r="P29" s="314"/>
      <c r="Q29" s="314"/>
      <c r="R29" s="314"/>
      <c r="S29" s="314"/>
      <c r="T29" s="314"/>
      <c r="U29" s="314"/>
      <c r="V29" s="314"/>
      <c r="W29" s="314"/>
      <c r="X29" s="325"/>
      <c r="Y29" s="334"/>
      <c r="Z29" s="90"/>
      <c r="AA29" s="90"/>
      <c r="AB29" s="90"/>
      <c r="AC29" s="90"/>
      <c r="AD29" s="90"/>
      <c r="BB29" s="91"/>
      <c r="BC29" s="91"/>
      <c r="BD29" s="91"/>
      <c r="BE29" s="91"/>
    </row>
    <row r="30" spans="1:57" ht="15" thickBot="1" x14ac:dyDescent="0.25">
      <c r="A30" s="115" t="s">
        <v>157</v>
      </c>
      <c r="B30" s="337">
        <f t="shared" ref="B30:X30" si="0">SUM(B11:B29)</f>
        <v>653.02682613636364</v>
      </c>
      <c r="C30" s="336"/>
      <c r="D30" s="317">
        <f t="shared" si="0"/>
        <v>740.46193750000009</v>
      </c>
      <c r="E30" s="317"/>
      <c r="F30" s="317">
        <f t="shared" si="0"/>
        <v>777.23124999999993</v>
      </c>
      <c r="G30" s="317"/>
      <c r="H30" s="317">
        <f t="shared" si="0"/>
        <v>359.43349999999998</v>
      </c>
      <c r="I30" s="317"/>
      <c r="J30" s="336">
        <f t="shared" si="0"/>
        <v>440.31425000000002</v>
      </c>
      <c r="K30" s="336"/>
      <c r="L30" s="337">
        <f>SUM(L11:L29)</f>
        <v>513.85199289772731</v>
      </c>
      <c r="M30" s="336"/>
      <c r="N30" s="317">
        <f t="shared" si="0"/>
        <v>671.73656249999999</v>
      </c>
      <c r="O30" s="317"/>
      <c r="P30" s="317">
        <f t="shared" si="0"/>
        <v>399.01172093749994</v>
      </c>
      <c r="Q30" s="317"/>
      <c r="R30" s="317">
        <f t="shared" si="0"/>
        <v>297.64964999999995</v>
      </c>
      <c r="S30" s="317"/>
      <c r="T30" s="317">
        <f t="shared" si="0"/>
        <v>293.87745687499995</v>
      </c>
      <c r="U30" s="317"/>
      <c r="V30" s="317">
        <f>SUM(V11:V29)</f>
        <v>419.90257031250002</v>
      </c>
      <c r="W30" s="317"/>
      <c r="X30" s="336">
        <f t="shared" si="0"/>
        <v>323.01221937499997</v>
      </c>
      <c r="Y30" s="339"/>
      <c r="Z30" s="90"/>
      <c r="AA30" s="90"/>
      <c r="AB30" s="90"/>
      <c r="AC30" s="90"/>
      <c r="AD30" s="90"/>
      <c r="BB30" s="91"/>
      <c r="BC30" s="91"/>
      <c r="BD30" s="91"/>
      <c r="BE30" s="91"/>
    </row>
    <row r="31" spans="1:57" s="153" customFormat="1" x14ac:dyDescent="0.2">
      <c r="A31" s="151" t="s">
        <v>163</v>
      </c>
      <c r="B31" s="364">
        <f t="shared" ref="B31:X31" si="1">B9-B30</f>
        <v>156.97317386363636</v>
      </c>
      <c r="C31" s="345"/>
      <c r="D31" s="344">
        <f t="shared" si="1"/>
        <v>199.53806249999991</v>
      </c>
      <c r="E31" s="344"/>
      <c r="F31" s="344">
        <f t="shared" si="1"/>
        <v>182.76875000000007</v>
      </c>
      <c r="G31" s="344"/>
      <c r="H31" s="344">
        <f t="shared" si="1"/>
        <v>210.56650000000002</v>
      </c>
      <c r="I31" s="344"/>
      <c r="J31" s="345">
        <f t="shared" si="1"/>
        <v>37.28574999999995</v>
      </c>
      <c r="K31" s="345"/>
      <c r="L31" s="364">
        <f t="shared" si="1"/>
        <v>-7.6019928977272571</v>
      </c>
      <c r="M31" s="345"/>
      <c r="N31" s="344">
        <f t="shared" si="1"/>
        <v>8.2634375000000091</v>
      </c>
      <c r="O31" s="344"/>
      <c r="P31" s="344">
        <f t="shared" si="1"/>
        <v>8.9882790625000553</v>
      </c>
      <c r="Q31" s="344"/>
      <c r="R31" s="344">
        <f t="shared" si="1"/>
        <v>-12.649649999999951</v>
      </c>
      <c r="S31" s="344"/>
      <c r="T31" s="344">
        <f t="shared" si="1"/>
        <v>16.562543125000047</v>
      </c>
      <c r="U31" s="344"/>
      <c r="V31" s="344">
        <f>V9-V30</f>
        <v>-7.4025703125000177</v>
      </c>
      <c r="W31" s="344"/>
      <c r="X31" s="345">
        <f t="shared" si="1"/>
        <v>-20.512219374999972</v>
      </c>
      <c r="Y31" s="346"/>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row>
    <row r="32" spans="1:57" x14ac:dyDescent="0.2">
      <c r="A32" s="240" t="s">
        <v>170</v>
      </c>
      <c r="B32" s="241">
        <f>B30/B7</f>
        <v>0.54418902178030304</v>
      </c>
      <c r="C32" s="242" t="s">
        <v>159</v>
      </c>
      <c r="D32" s="243">
        <f>D30/D7*2000</f>
        <v>315.0901861702128</v>
      </c>
      <c r="E32" s="244" t="s">
        <v>160</v>
      </c>
      <c r="F32" s="245">
        <f>F30/F7</f>
        <v>3.8861562499999995</v>
      </c>
      <c r="G32" s="244" t="s">
        <v>162</v>
      </c>
      <c r="H32" s="245">
        <f>H30/H7</f>
        <v>5.9905583333333334</v>
      </c>
      <c r="I32" s="244" t="s">
        <v>162</v>
      </c>
      <c r="J32" s="246">
        <f>J30/J7</f>
        <v>4.4031425000000004</v>
      </c>
      <c r="K32" s="242" t="s">
        <v>162</v>
      </c>
      <c r="L32" s="241">
        <f>L30/L7</f>
        <v>0.68513599053030305</v>
      </c>
      <c r="M32" s="242" t="s">
        <v>159</v>
      </c>
      <c r="N32" s="243">
        <f>N30/N7*2000</f>
        <v>395.13915441176471</v>
      </c>
      <c r="O32" s="244" t="s">
        <v>160</v>
      </c>
      <c r="P32" s="245">
        <f>P30/P7</f>
        <v>4.6942555404411754</v>
      </c>
      <c r="Q32" s="244" t="s">
        <v>162</v>
      </c>
      <c r="R32" s="245">
        <f>R30/R7</f>
        <v>9.9216549999999977</v>
      </c>
      <c r="S32" s="244" t="s">
        <v>162</v>
      </c>
      <c r="T32" s="245">
        <f>T30/T7</f>
        <v>4.5211916442307682</v>
      </c>
      <c r="U32" s="244" t="s">
        <v>162</v>
      </c>
      <c r="V32" s="245">
        <f>V30/V7</f>
        <v>5.5987009375000003</v>
      </c>
      <c r="W32" s="244" t="s">
        <v>162</v>
      </c>
      <c r="X32" s="246">
        <f>X30/X7</f>
        <v>5.8729494431818177</v>
      </c>
      <c r="Y32" s="247" t="s">
        <v>162</v>
      </c>
      <c r="Z32" s="90"/>
      <c r="AA32" s="90"/>
      <c r="AB32" s="90"/>
      <c r="AC32" s="90"/>
      <c r="AD32" s="90"/>
      <c r="BB32" s="91"/>
      <c r="BC32" s="91"/>
      <c r="BD32" s="91"/>
      <c r="BE32" s="91"/>
    </row>
    <row r="33" spans="1:57" x14ac:dyDescent="0.2">
      <c r="A33" s="117" t="s">
        <v>189</v>
      </c>
      <c r="B33" s="294">
        <f>B30/B8</f>
        <v>967.44714983164977</v>
      </c>
      <c r="C33" s="295" t="s">
        <v>158</v>
      </c>
      <c r="D33" s="296">
        <f>D30/D8*2000</f>
        <v>3702.3096875000006</v>
      </c>
      <c r="E33" s="297" t="s">
        <v>158</v>
      </c>
      <c r="F33" s="296">
        <f>F30/F8</f>
        <v>161.92317708333331</v>
      </c>
      <c r="G33" s="297" t="s">
        <v>161</v>
      </c>
      <c r="H33" s="296">
        <f>H30/H8</f>
        <v>37.835105263157892</v>
      </c>
      <c r="I33" s="297" t="s">
        <v>161</v>
      </c>
      <c r="J33" s="298">
        <f>J30/J8</f>
        <v>92.193100921273043</v>
      </c>
      <c r="K33" s="295" t="s">
        <v>161</v>
      </c>
      <c r="L33" s="294">
        <f>L30/L8</f>
        <v>761.26221170033671</v>
      </c>
      <c r="M33" s="295" t="s">
        <v>158</v>
      </c>
      <c r="N33" s="296">
        <f>N30/N8*2000</f>
        <v>3358.6828125000002</v>
      </c>
      <c r="O33" s="297" t="s">
        <v>158</v>
      </c>
      <c r="P33" s="296">
        <f>P30/P8</f>
        <v>83.127441861979165</v>
      </c>
      <c r="Q33" s="297" t="s">
        <v>161</v>
      </c>
      <c r="R33" s="296">
        <f>R30/R8</f>
        <v>31.331542105263154</v>
      </c>
      <c r="S33" s="297" t="s">
        <v>161</v>
      </c>
      <c r="T33" s="296">
        <f>T30/T8</f>
        <v>61.532130836474032</v>
      </c>
      <c r="U33" s="297" t="s">
        <v>161</v>
      </c>
      <c r="V33" s="296">
        <f>V30/V8</f>
        <v>76.345921875000002</v>
      </c>
      <c r="W33" s="297" t="s">
        <v>161</v>
      </c>
      <c r="X33" s="296">
        <f>X30/X8</f>
        <v>58.729494431818175</v>
      </c>
      <c r="Y33" s="292" t="s">
        <v>161</v>
      </c>
      <c r="Z33" s="90"/>
      <c r="AA33" s="90"/>
      <c r="AB33" s="90"/>
      <c r="AC33" s="90"/>
      <c r="AD33" s="90"/>
      <c r="BB33" s="91"/>
      <c r="BC33" s="91"/>
      <c r="BD33" s="91"/>
      <c r="BE33" s="91"/>
    </row>
    <row r="34" spans="1:57" x14ac:dyDescent="0.2">
      <c r="A34" s="98" t="s">
        <v>164</v>
      </c>
      <c r="B34" s="363"/>
      <c r="C34" s="341"/>
      <c r="D34" s="343"/>
      <c r="E34" s="343"/>
      <c r="F34" s="343"/>
      <c r="G34" s="343"/>
      <c r="H34" s="343"/>
      <c r="I34" s="343"/>
      <c r="J34" s="341"/>
      <c r="K34" s="341"/>
      <c r="L34" s="363"/>
      <c r="M34" s="341"/>
      <c r="N34" s="343"/>
      <c r="O34" s="343"/>
      <c r="P34" s="343"/>
      <c r="Q34" s="343"/>
      <c r="R34" s="343"/>
      <c r="S34" s="343"/>
      <c r="T34" s="343"/>
      <c r="U34" s="343"/>
      <c r="V34" s="343"/>
      <c r="W34" s="343"/>
      <c r="X34" s="341"/>
      <c r="Y34" s="342"/>
      <c r="Z34" s="90"/>
      <c r="AA34" s="90"/>
      <c r="AB34" s="90"/>
      <c r="AC34" s="90"/>
      <c r="AD34" s="90"/>
      <c r="BB34" s="91"/>
      <c r="BC34" s="91"/>
      <c r="BD34" s="91"/>
      <c r="BE34" s="91"/>
    </row>
    <row r="35" spans="1:57" x14ac:dyDescent="0.2">
      <c r="A35" s="95" t="s">
        <v>19</v>
      </c>
      <c r="B35" s="322">
        <f>1.05*(56.07+179.42)</f>
        <v>247.2645</v>
      </c>
      <c r="C35" s="323"/>
      <c r="D35" s="313">
        <f>1.05*(88.59+119.64)</f>
        <v>218.64150000000004</v>
      </c>
      <c r="E35" s="313"/>
      <c r="F35" s="313">
        <f>57.06+58.72</f>
        <v>115.78</v>
      </c>
      <c r="G35" s="313"/>
      <c r="H35" s="313">
        <f>52.18+44.4</f>
        <v>96.58</v>
      </c>
      <c r="I35" s="313"/>
      <c r="J35" s="310">
        <f>58.68+43.95</f>
        <v>102.63</v>
      </c>
      <c r="K35" s="311"/>
      <c r="L35" s="322">
        <f>B35</f>
        <v>247.2645</v>
      </c>
      <c r="M35" s="323"/>
      <c r="N35" s="313">
        <f>D35</f>
        <v>218.64150000000004</v>
      </c>
      <c r="O35" s="313"/>
      <c r="P35" s="313">
        <f>F35</f>
        <v>115.78</v>
      </c>
      <c r="Q35" s="313"/>
      <c r="R35" s="313">
        <f>H35</f>
        <v>96.58</v>
      </c>
      <c r="S35" s="313"/>
      <c r="T35" s="310">
        <f>J35</f>
        <v>102.63</v>
      </c>
      <c r="U35" s="311"/>
      <c r="V35" s="313">
        <f>34.24+40.24</f>
        <v>74.48</v>
      </c>
      <c r="W35" s="313"/>
      <c r="X35" s="323">
        <f>32.98+40.24</f>
        <v>73.22</v>
      </c>
      <c r="Y35" s="330"/>
      <c r="Z35" s="90"/>
      <c r="AA35" s="90"/>
      <c r="AB35" s="90"/>
      <c r="AC35" s="90"/>
      <c r="AD35" s="90"/>
      <c r="BB35" s="91"/>
      <c r="BC35" s="91"/>
      <c r="BD35" s="91"/>
      <c r="BE35" s="91"/>
    </row>
    <row r="36" spans="1:57" x14ac:dyDescent="0.2">
      <c r="A36" s="95" t="s">
        <v>12</v>
      </c>
      <c r="B36" s="322">
        <v>140</v>
      </c>
      <c r="C36" s="323"/>
      <c r="D36" s="313">
        <v>140</v>
      </c>
      <c r="E36" s="313"/>
      <c r="F36" s="313">
        <v>140</v>
      </c>
      <c r="G36" s="313"/>
      <c r="H36" s="313">
        <v>140</v>
      </c>
      <c r="I36" s="313"/>
      <c r="J36" s="323">
        <v>140</v>
      </c>
      <c r="K36" s="323"/>
      <c r="L36" s="322"/>
      <c r="M36" s="323"/>
      <c r="N36" s="313"/>
      <c r="O36" s="313"/>
      <c r="P36" s="313"/>
      <c r="Q36" s="313"/>
      <c r="R36" s="313"/>
      <c r="S36" s="313"/>
      <c r="T36" s="313"/>
      <c r="U36" s="313"/>
      <c r="V36" s="313">
        <v>140</v>
      </c>
      <c r="W36" s="313"/>
      <c r="X36" s="323"/>
      <c r="Y36" s="330"/>
      <c r="Z36" s="90"/>
      <c r="AA36" s="90"/>
      <c r="AB36" s="90"/>
      <c r="AC36" s="90"/>
      <c r="AD36" s="90"/>
      <c r="BB36" s="91"/>
      <c r="BC36" s="91"/>
      <c r="BD36" s="91"/>
      <c r="BE36" s="91"/>
    </row>
    <row r="37" spans="1:57" x14ac:dyDescent="0.2">
      <c r="A37" s="95" t="s">
        <v>20</v>
      </c>
      <c r="B37" s="322"/>
      <c r="C37" s="323"/>
      <c r="D37" s="313"/>
      <c r="E37" s="313"/>
      <c r="F37" s="313"/>
      <c r="G37" s="313"/>
      <c r="H37" s="313"/>
      <c r="I37" s="313"/>
      <c r="J37" s="323"/>
      <c r="K37" s="323"/>
      <c r="L37" s="322"/>
      <c r="M37" s="323"/>
      <c r="N37" s="313"/>
      <c r="O37" s="313"/>
      <c r="P37" s="313"/>
      <c r="Q37" s="313"/>
      <c r="R37" s="313"/>
      <c r="S37" s="313"/>
      <c r="T37" s="313"/>
      <c r="U37" s="313"/>
      <c r="V37" s="313"/>
      <c r="W37" s="313"/>
      <c r="X37" s="323"/>
      <c r="Y37" s="330"/>
      <c r="Z37" s="90"/>
      <c r="AA37" s="90"/>
      <c r="AB37" s="90"/>
      <c r="AC37" s="90"/>
      <c r="AD37" s="90"/>
      <c r="BB37" s="91"/>
      <c r="BC37" s="91"/>
      <c r="BD37" s="91"/>
      <c r="BE37" s="91"/>
    </row>
    <row r="38" spans="1:57" x14ac:dyDescent="0.2">
      <c r="A38" s="95" t="s">
        <v>21</v>
      </c>
      <c r="B38" s="324">
        <f>0.05*B30</f>
        <v>32.651341306818182</v>
      </c>
      <c r="C38" s="325"/>
      <c r="D38" s="314">
        <f>0.05*D30</f>
        <v>37.023096875000007</v>
      </c>
      <c r="E38" s="314"/>
      <c r="F38" s="314">
        <f>0.05*F30</f>
        <v>38.861562499999998</v>
      </c>
      <c r="G38" s="314"/>
      <c r="H38" s="314">
        <f>0.05*H30</f>
        <v>17.971675000000001</v>
      </c>
      <c r="I38" s="314"/>
      <c r="J38" s="325">
        <f>0.05*J30</f>
        <v>22.015712500000003</v>
      </c>
      <c r="K38" s="325"/>
      <c r="L38" s="324">
        <f>0.05*L30</f>
        <v>25.692599644886368</v>
      </c>
      <c r="M38" s="325"/>
      <c r="N38" s="314">
        <f>0.05*N30</f>
        <v>33.586828125000004</v>
      </c>
      <c r="O38" s="314"/>
      <c r="P38" s="314">
        <f>0.05*P30</f>
        <v>19.950586046874999</v>
      </c>
      <c r="Q38" s="314"/>
      <c r="R38" s="314">
        <f>0.05*R30</f>
        <v>14.882482499999998</v>
      </c>
      <c r="S38" s="314"/>
      <c r="T38" s="314">
        <f>0.05*T30</f>
        <v>14.693872843749999</v>
      </c>
      <c r="U38" s="314"/>
      <c r="V38" s="314">
        <f>0.05*V30</f>
        <v>20.995128515625002</v>
      </c>
      <c r="W38" s="314"/>
      <c r="X38" s="325">
        <f>0.05*X30</f>
        <v>16.150610968749998</v>
      </c>
      <c r="Y38" s="334"/>
      <c r="Z38" s="90"/>
      <c r="AA38" s="90"/>
      <c r="AB38" s="90"/>
      <c r="AC38" s="90"/>
      <c r="AD38" s="90"/>
      <c r="BB38" s="91"/>
      <c r="BC38" s="91"/>
      <c r="BD38" s="91"/>
      <c r="BE38" s="91"/>
    </row>
    <row r="39" spans="1:57" x14ac:dyDescent="0.2">
      <c r="A39" s="101" t="s">
        <v>165</v>
      </c>
      <c r="B39" s="326">
        <f>SUM(B35:B38)</f>
        <v>419.91584130681815</v>
      </c>
      <c r="C39" s="327"/>
      <c r="D39" s="315">
        <f>SUM(D35:D38)</f>
        <v>395.66459687500009</v>
      </c>
      <c r="E39" s="315"/>
      <c r="F39" s="315">
        <f>SUM(F35:F38)</f>
        <v>294.64156250000002</v>
      </c>
      <c r="G39" s="315"/>
      <c r="H39" s="315">
        <f>SUM(H35:H38)</f>
        <v>254.55167499999999</v>
      </c>
      <c r="I39" s="315"/>
      <c r="J39" s="327">
        <f>SUM(J35:J38)</f>
        <v>264.6457125</v>
      </c>
      <c r="K39" s="327"/>
      <c r="L39" s="326">
        <f>SUM(L35:L38)</f>
        <v>272.95709964488634</v>
      </c>
      <c r="M39" s="327"/>
      <c r="N39" s="315">
        <f>SUM(N35:N38)</f>
        <v>252.22832812500005</v>
      </c>
      <c r="O39" s="315"/>
      <c r="P39" s="315">
        <f>SUM(P35:P38)</f>
        <v>135.730586046875</v>
      </c>
      <c r="Q39" s="315"/>
      <c r="R39" s="315">
        <f>SUM(R35:R38)</f>
        <v>111.46248249999999</v>
      </c>
      <c r="S39" s="315"/>
      <c r="T39" s="315">
        <f>SUM(T35:T38)</f>
        <v>117.32387284375</v>
      </c>
      <c r="U39" s="315"/>
      <c r="V39" s="315">
        <f>SUM(V35:V38)</f>
        <v>235.47512851562502</v>
      </c>
      <c r="W39" s="315"/>
      <c r="X39" s="327">
        <f>SUM(X35:X38)</f>
        <v>89.37061096875</v>
      </c>
      <c r="Y39" s="333"/>
      <c r="Z39" s="90"/>
      <c r="AA39" s="90"/>
      <c r="AB39" s="90"/>
      <c r="AC39" s="90"/>
      <c r="AD39" s="90"/>
      <c r="BB39" s="91"/>
      <c r="BC39" s="91"/>
      <c r="BD39" s="91"/>
      <c r="BE39" s="91"/>
    </row>
    <row r="40" spans="1:57" x14ac:dyDescent="0.2">
      <c r="A40" s="95"/>
      <c r="B40" s="125"/>
      <c r="C40" s="126"/>
      <c r="D40" s="316"/>
      <c r="E40" s="316"/>
      <c r="F40" s="316"/>
      <c r="G40" s="316"/>
      <c r="H40" s="316"/>
      <c r="I40" s="316"/>
      <c r="J40" s="331"/>
      <c r="K40" s="331"/>
      <c r="L40" s="335"/>
      <c r="M40" s="331"/>
      <c r="N40" s="316"/>
      <c r="O40" s="316"/>
      <c r="P40" s="316"/>
      <c r="Q40" s="316"/>
      <c r="R40" s="316"/>
      <c r="S40" s="316"/>
      <c r="T40" s="316"/>
      <c r="U40" s="316"/>
      <c r="V40" s="279"/>
      <c r="W40" s="280"/>
      <c r="X40" s="331"/>
      <c r="Y40" s="332"/>
      <c r="Z40" s="90"/>
      <c r="AA40" s="90"/>
      <c r="AB40" s="90"/>
      <c r="AC40" s="90"/>
      <c r="AD40" s="90"/>
      <c r="BB40" s="91"/>
      <c r="BC40" s="91"/>
      <c r="BD40" s="91"/>
      <c r="BE40" s="91"/>
    </row>
    <row r="41" spans="1:57" ht="15" thickBot="1" x14ac:dyDescent="0.25">
      <c r="A41" s="115" t="s">
        <v>166</v>
      </c>
      <c r="B41" s="337">
        <f>B39+B30</f>
        <v>1072.9426674431818</v>
      </c>
      <c r="C41" s="336"/>
      <c r="D41" s="317">
        <f>D39+D30</f>
        <v>1136.1265343750001</v>
      </c>
      <c r="E41" s="317"/>
      <c r="F41" s="317">
        <f>F39+F30</f>
        <v>1071.8728125</v>
      </c>
      <c r="G41" s="317"/>
      <c r="H41" s="317">
        <f>H39+H30</f>
        <v>613.98517500000003</v>
      </c>
      <c r="I41" s="317"/>
      <c r="J41" s="336">
        <f>J39+J30</f>
        <v>704.95996250000007</v>
      </c>
      <c r="K41" s="336"/>
      <c r="L41" s="337">
        <f>L39+L30</f>
        <v>786.8090925426136</v>
      </c>
      <c r="M41" s="336"/>
      <c r="N41" s="317">
        <f>N39+N30</f>
        <v>923.96489062500007</v>
      </c>
      <c r="O41" s="317"/>
      <c r="P41" s="317">
        <f>P39+P30</f>
        <v>534.74230698437498</v>
      </c>
      <c r="Q41" s="317"/>
      <c r="R41" s="317">
        <f>R39+R30</f>
        <v>409.11213249999992</v>
      </c>
      <c r="S41" s="317"/>
      <c r="T41" s="317">
        <f>T39+T30</f>
        <v>411.20132971874995</v>
      </c>
      <c r="U41" s="317"/>
      <c r="V41" s="317">
        <f>V39+V30</f>
        <v>655.37769882812506</v>
      </c>
      <c r="W41" s="317"/>
      <c r="X41" s="336">
        <f>X39+X30</f>
        <v>412.38283034374996</v>
      </c>
      <c r="Y41" s="339"/>
      <c r="Z41" s="90"/>
      <c r="AA41" s="90"/>
      <c r="AB41" s="90"/>
      <c r="AC41" s="90"/>
      <c r="AD41" s="90"/>
      <c r="BB41" s="91"/>
      <c r="BC41" s="91"/>
      <c r="BD41" s="91"/>
      <c r="BE41" s="91"/>
    </row>
    <row r="42" spans="1:57" s="155" customFormat="1" ht="15" thickBot="1" x14ac:dyDescent="0.25">
      <c r="A42" s="130" t="s">
        <v>167</v>
      </c>
      <c r="B42" s="328">
        <f>B9-B41</f>
        <v>-262.94266744318179</v>
      </c>
      <c r="C42" s="329"/>
      <c r="D42" s="321">
        <f>D9-D41</f>
        <v>-196.12653437500012</v>
      </c>
      <c r="E42" s="321"/>
      <c r="F42" s="321">
        <f>F9-F41</f>
        <v>-111.87281250000001</v>
      </c>
      <c r="G42" s="321"/>
      <c r="H42" s="321">
        <f>H9-H41</f>
        <v>-43.985175000000027</v>
      </c>
      <c r="I42" s="321"/>
      <c r="J42" s="329">
        <f>J9-J41</f>
        <v>-227.35996250000011</v>
      </c>
      <c r="K42" s="329"/>
      <c r="L42" s="328">
        <f>L9-L41</f>
        <v>-280.55909254261354</v>
      </c>
      <c r="M42" s="329"/>
      <c r="N42" s="321">
        <f>N9-N41</f>
        <v>-243.96489062500007</v>
      </c>
      <c r="O42" s="321"/>
      <c r="P42" s="321">
        <f>P9-P41</f>
        <v>-126.74230698437498</v>
      </c>
      <c r="Q42" s="321"/>
      <c r="R42" s="321">
        <f>R9-R41</f>
        <v>-124.11213249999992</v>
      </c>
      <c r="S42" s="321"/>
      <c r="T42" s="321">
        <f>T9-T41</f>
        <v>-100.76132971874995</v>
      </c>
      <c r="U42" s="321"/>
      <c r="V42" s="321">
        <f>V9-V41</f>
        <v>-242.87769882812506</v>
      </c>
      <c r="W42" s="321"/>
      <c r="X42" s="329">
        <f>X9-X41</f>
        <v>-109.88283034374996</v>
      </c>
      <c r="Y42" s="340"/>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row>
    <row r="43" spans="1:57" ht="15" thickTop="1" x14ac:dyDescent="0.2">
      <c r="A43" s="95"/>
      <c r="B43" s="131"/>
      <c r="C43" s="132"/>
      <c r="D43" s="318"/>
      <c r="E43" s="318"/>
      <c r="F43" s="308"/>
      <c r="G43" s="309"/>
      <c r="H43" s="308"/>
      <c r="I43" s="309"/>
      <c r="J43" s="132"/>
      <c r="K43" s="132"/>
      <c r="L43" s="319"/>
      <c r="M43" s="320"/>
      <c r="N43" s="318"/>
      <c r="O43" s="318"/>
      <c r="P43" s="318"/>
      <c r="Q43" s="318"/>
      <c r="R43" s="318"/>
      <c r="S43" s="318"/>
      <c r="T43" s="318"/>
      <c r="U43" s="318"/>
      <c r="V43" s="308"/>
      <c r="W43" s="309"/>
      <c r="X43" s="320"/>
      <c r="Y43" s="338"/>
      <c r="Z43" s="90"/>
      <c r="AA43" s="90"/>
      <c r="AB43" s="90"/>
      <c r="AC43" s="90"/>
      <c r="AD43" s="90"/>
      <c r="BB43" s="91"/>
      <c r="BC43" s="91"/>
      <c r="BD43" s="91"/>
      <c r="BE43" s="91"/>
    </row>
    <row r="44" spans="1:57" x14ac:dyDescent="0.2">
      <c r="A44" s="117" t="s">
        <v>34</v>
      </c>
      <c r="B44" s="156">
        <f>B41/B7</f>
        <v>0.89411888953598484</v>
      </c>
      <c r="C44" s="136" t="s">
        <v>159</v>
      </c>
      <c r="D44" s="221">
        <f>D41/D7*2000</f>
        <v>483.45809973404261</v>
      </c>
      <c r="E44" s="223" t="s">
        <v>160</v>
      </c>
      <c r="F44" s="222">
        <f>F41/F7</f>
        <v>5.3593640625000001</v>
      </c>
      <c r="G44" s="223" t="s">
        <v>162</v>
      </c>
      <c r="H44" s="222">
        <f>H41/H7</f>
        <v>10.233086250000001</v>
      </c>
      <c r="I44" s="223" t="s">
        <v>162</v>
      </c>
      <c r="J44" s="222">
        <f>J41/J7</f>
        <v>7.0495996250000008</v>
      </c>
      <c r="K44" s="119" t="s">
        <v>162</v>
      </c>
      <c r="L44" s="135">
        <f>L41/L7</f>
        <v>1.0490787900568181</v>
      </c>
      <c r="M44" s="136" t="s">
        <v>159</v>
      </c>
      <c r="N44" s="218">
        <f>N41/N7*2000</f>
        <v>543.50875919117652</v>
      </c>
      <c r="O44" s="217" t="s">
        <v>160</v>
      </c>
      <c r="P44" s="219">
        <f>P41/P7</f>
        <v>6.2910859645220585</v>
      </c>
      <c r="Q44" s="217" t="s">
        <v>162</v>
      </c>
      <c r="R44" s="219">
        <f>R41/R7</f>
        <v>13.63707108333333</v>
      </c>
      <c r="S44" s="217" t="s">
        <v>162</v>
      </c>
      <c r="T44" s="219">
        <f>T41/T7</f>
        <v>6.3261743033653834</v>
      </c>
      <c r="U44" s="217" t="s">
        <v>162</v>
      </c>
      <c r="V44" s="219">
        <f>V41/V7</f>
        <v>8.7383693177083348</v>
      </c>
      <c r="W44" s="217" t="s">
        <v>162</v>
      </c>
      <c r="X44" s="137">
        <f>X41/X7</f>
        <v>7.4978696426136358</v>
      </c>
      <c r="Y44" s="122" t="s">
        <v>162</v>
      </c>
      <c r="Z44" s="90"/>
      <c r="AA44" s="90"/>
      <c r="AB44" s="90"/>
      <c r="AC44" s="90"/>
      <c r="AD44" s="90"/>
      <c r="BA44" s="91"/>
      <c r="BB44" s="91"/>
      <c r="BC44" s="91"/>
      <c r="BD44" s="91"/>
      <c r="BE44" s="91"/>
    </row>
    <row r="45" spans="1:57" x14ac:dyDescent="0.2">
      <c r="A45" s="138" t="s">
        <v>168</v>
      </c>
      <c r="B45" s="139">
        <f>B41/B8</f>
        <v>1589.5446925084173</v>
      </c>
      <c r="C45" s="140" t="s">
        <v>158</v>
      </c>
      <c r="D45" s="224">
        <f>D41/D8*2000</f>
        <v>5680.6326718750006</v>
      </c>
      <c r="E45" s="220" t="s">
        <v>158</v>
      </c>
      <c r="F45" s="225">
        <f>F41/F8</f>
        <v>223.30683593750001</v>
      </c>
      <c r="G45" s="217" t="s">
        <v>161</v>
      </c>
      <c r="H45" s="225">
        <f>H41/H8</f>
        <v>64.63001842105264</v>
      </c>
      <c r="I45" s="217" t="s">
        <v>161</v>
      </c>
      <c r="J45" s="225">
        <f>J41/J8</f>
        <v>147.60468226549415</v>
      </c>
      <c r="K45" s="281" t="s">
        <v>161</v>
      </c>
      <c r="L45" s="284">
        <f>L41/L8</f>
        <v>1165.6431000631312</v>
      </c>
      <c r="M45" s="140" t="s">
        <v>158</v>
      </c>
      <c r="N45" s="224">
        <f>N41/N8*2000</f>
        <v>4619.8244531250002</v>
      </c>
      <c r="O45" s="220" t="s">
        <v>158</v>
      </c>
      <c r="P45" s="225">
        <f>P41/P8</f>
        <v>111.40464728841145</v>
      </c>
      <c r="Q45" s="217" t="s">
        <v>161</v>
      </c>
      <c r="R45" s="225">
        <f>R41/R8</f>
        <v>43.064434999999989</v>
      </c>
      <c r="S45" s="217" t="s">
        <v>161</v>
      </c>
      <c r="T45" s="225">
        <f>T41/T8</f>
        <v>86.09743084563442</v>
      </c>
      <c r="U45" s="217" t="s">
        <v>161</v>
      </c>
      <c r="V45" s="225">
        <f>V41/V8</f>
        <v>119.15958160511364</v>
      </c>
      <c r="W45" s="217" t="s">
        <v>161</v>
      </c>
      <c r="X45" s="141">
        <f>X41/X8</f>
        <v>74.978696426136352</v>
      </c>
      <c r="Y45" s="122" t="s">
        <v>161</v>
      </c>
      <c r="Z45" s="285"/>
      <c r="AA45" s="285"/>
      <c r="AB45" s="90"/>
      <c r="AC45" s="90"/>
      <c r="AD45" s="90"/>
      <c r="BA45" s="91"/>
      <c r="BB45" s="91"/>
      <c r="BC45" s="91"/>
      <c r="BD45" s="91"/>
      <c r="BE45" s="91"/>
    </row>
    <row r="46" spans="1:57" x14ac:dyDescent="0.2">
      <c r="A46" s="143" t="s">
        <v>175</v>
      </c>
      <c r="B46" s="90"/>
      <c r="C46" s="85" t="s">
        <v>169</v>
      </c>
      <c r="D46" s="157">
        <v>0.75</v>
      </c>
      <c r="E46" s="158" t="s">
        <v>65</v>
      </c>
      <c r="F46" s="157">
        <v>0.75</v>
      </c>
      <c r="G46" s="158" t="s">
        <v>66</v>
      </c>
      <c r="H46" s="214">
        <v>0.4</v>
      </c>
      <c r="I46" s="90"/>
      <c r="J46" s="90"/>
      <c r="K46" s="216"/>
      <c r="L46" s="216"/>
      <c r="M46" s="216"/>
      <c r="N46" s="90"/>
      <c r="O46" s="90"/>
      <c r="P46" s="90"/>
      <c r="Q46" s="216"/>
      <c r="R46" s="86"/>
      <c r="S46" s="86"/>
      <c r="T46" s="143"/>
      <c r="U46" s="143"/>
      <c r="V46" s="143"/>
      <c r="W46" s="143"/>
      <c r="X46" s="143"/>
      <c r="Y46" s="143"/>
      <c r="Z46" s="143"/>
      <c r="AA46" s="143"/>
      <c r="AB46" s="90"/>
      <c r="AC46" s="90"/>
      <c r="AD46" s="90"/>
      <c r="BE46" s="91"/>
    </row>
    <row r="47" spans="1:57" x14ac:dyDescent="0.2">
      <c r="A47" s="86" t="s">
        <v>176</v>
      </c>
      <c r="B47" s="226">
        <v>3</v>
      </c>
      <c r="C47" s="312" t="s">
        <v>67</v>
      </c>
      <c r="D47" s="312"/>
      <c r="E47" s="312"/>
      <c r="F47" s="86"/>
      <c r="G47" s="86"/>
      <c r="H47" s="86"/>
      <c r="I47" s="86"/>
      <c r="J47" s="86"/>
      <c r="K47" s="86"/>
      <c r="L47" s="86"/>
      <c r="M47" s="86"/>
      <c r="N47" s="86"/>
      <c r="O47" s="86"/>
      <c r="P47" s="86"/>
      <c r="Q47" s="86"/>
      <c r="R47" s="86"/>
      <c r="S47" s="86"/>
      <c r="T47" s="86"/>
      <c r="U47" s="86"/>
      <c r="V47" s="86"/>
      <c r="W47" s="86"/>
      <c r="X47" s="86"/>
      <c r="Y47" s="86"/>
      <c r="Z47" s="86"/>
      <c r="AA47" s="86"/>
      <c r="AB47" s="90"/>
      <c r="AC47" s="90"/>
      <c r="AD47" s="90"/>
      <c r="BE47" s="91"/>
    </row>
    <row r="48" spans="1:57" x14ac:dyDescent="0.2">
      <c r="A48" s="312" t="s">
        <v>191</v>
      </c>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159"/>
      <c r="AD48" s="90"/>
    </row>
    <row r="49" spans="1:9" s="90" customFormat="1" x14ac:dyDescent="0.2">
      <c r="A49" s="86"/>
    </row>
    <row r="50" spans="1:9" s="90" customFormat="1" x14ac:dyDescent="0.2">
      <c r="A50" s="86"/>
    </row>
    <row r="51" spans="1:9" s="90" customFormat="1" x14ac:dyDescent="0.2">
      <c r="A51" s="86"/>
      <c r="I51" s="307"/>
    </row>
    <row r="52" spans="1:9" s="90" customFormat="1" x14ac:dyDescent="0.2">
      <c r="A52" s="86"/>
    </row>
    <row r="53" spans="1:9" s="90" customFormat="1" x14ac:dyDescent="0.2">
      <c r="A53" s="86"/>
    </row>
    <row r="54" spans="1:9" s="90" customFormat="1" x14ac:dyDescent="0.2">
      <c r="A54" s="86"/>
    </row>
    <row r="55" spans="1:9" s="90" customFormat="1" x14ac:dyDescent="0.2">
      <c r="A55" s="86"/>
    </row>
    <row r="56" spans="1:9" s="90" customFormat="1" x14ac:dyDescent="0.2">
      <c r="A56" s="86"/>
    </row>
    <row r="57" spans="1:9" s="90" customFormat="1" x14ac:dyDescent="0.2">
      <c r="A57" s="86"/>
    </row>
    <row r="58" spans="1:9" s="90" customFormat="1" x14ac:dyDescent="0.2">
      <c r="A58" s="86"/>
    </row>
    <row r="59" spans="1:9" s="90" customFormat="1" x14ac:dyDescent="0.2">
      <c r="A59" s="86"/>
    </row>
    <row r="60" spans="1:9" s="90" customFormat="1" x14ac:dyDescent="0.2">
      <c r="A60" s="86"/>
    </row>
    <row r="61" spans="1:9" s="90" customFormat="1" x14ac:dyDescent="0.2">
      <c r="A61" s="86"/>
    </row>
    <row r="62" spans="1:9" s="90" customFormat="1" x14ac:dyDescent="0.2">
      <c r="A62" s="86"/>
    </row>
    <row r="63" spans="1:9" s="90" customFormat="1" x14ac:dyDescent="0.2">
      <c r="A63" s="86"/>
    </row>
    <row r="64" spans="1:9" s="90" customFormat="1" x14ac:dyDescent="0.2">
      <c r="A64" s="86"/>
    </row>
    <row r="65" spans="1:1" s="90" customFormat="1" x14ac:dyDescent="0.2">
      <c r="A65" s="86"/>
    </row>
    <row r="66" spans="1:1" s="90" customFormat="1" x14ac:dyDescent="0.2">
      <c r="A66" s="86"/>
    </row>
    <row r="67" spans="1:1" s="90" customFormat="1" x14ac:dyDescent="0.2">
      <c r="A67" s="86"/>
    </row>
    <row r="68" spans="1:1" s="90" customFormat="1" x14ac:dyDescent="0.2">
      <c r="A68" s="86"/>
    </row>
    <row r="69" spans="1:1" s="90" customFormat="1" x14ac:dyDescent="0.2">
      <c r="A69" s="86"/>
    </row>
    <row r="70" spans="1:1" s="90" customFormat="1" x14ac:dyDescent="0.2">
      <c r="A70" s="86"/>
    </row>
    <row r="71" spans="1:1" s="90" customFormat="1" x14ac:dyDescent="0.2">
      <c r="A71" s="86"/>
    </row>
    <row r="72" spans="1:1" s="90" customFormat="1" x14ac:dyDescent="0.2">
      <c r="A72" s="86"/>
    </row>
    <row r="73" spans="1:1" s="90" customFormat="1" x14ac:dyDescent="0.2">
      <c r="A73" s="86"/>
    </row>
    <row r="74" spans="1:1" s="90" customFormat="1" x14ac:dyDescent="0.2">
      <c r="A74" s="86"/>
    </row>
    <row r="75" spans="1:1" s="90" customFormat="1" x14ac:dyDescent="0.2">
      <c r="A75" s="86"/>
    </row>
    <row r="76" spans="1:1" s="90" customFormat="1" x14ac:dyDescent="0.2">
      <c r="A76" s="86"/>
    </row>
    <row r="77" spans="1:1" s="90" customFormat="1" x14ac:dyDescent="0.2">
      <c r="A77" s="86"/>
    </row>
    <row r="78" spans="1:1" s="90" customFormat="1" x14ac:dyDescent="0.2">
      <c r="A78" s="86"/>
    </row>
    <row r="79" spans="1:1" s="90" customFormat="1" x14ac:dyDescent="0.2">
      <c r="A79" s="86"/>
    </row>
    <row r="80" spans="1:1" s="90" customFormat="1" x14ac:dyDescent="0.2">
      <c r="A80" s="86"/>
    </row>
    <row r="81" spans="1:1" s="90" customFormat="1" x14ac:dyDescent="0.2">
      <c r="A81" s="86"/>
    </row>
    <row r="82" spans="1:1" s="90" customFormat="1" x14ac:dyDescent="0.2">
      <c r="A82" s="86"/>
    </row>
    <row r="83" spans="1:1" s="90" customFormat="1" x14ac:dyDescent="0.2">
      <c r="A83" s="86"/>
    </row>
    <row r="84" spans="1:1" s="90" customFormat="1" x14ac:dyDescent="0.2">
      <c r="A84" s="86"/>
    </row>
    <row r="85" spans="1:1" s="90" customFormat="1" x14ac:dyDescent="0.2">
      <c r="A85" s="86"/>
    </row>
    <row r="86" spans="1:1" s="90" customFormat="1" x14ac:dyDescent="0.2">
      <c r="A86" s="86"/>
    </row>
    <row r="87" spans="1:1" s="90" customFormat="1" x14ac:dyDescent="0.2">
      <c r="A87" s="86"/>
    </row>
    <row r="88" spans="1:1" s="90" customFormat="1" x14ac:dyDescent="0.2">
      <c r="A88" s="86"/>
    </row>
    <row r="89" spans="1:1" s="90" customFormat="1" x14ac:dyDescent="0.2">
      <c r="A89" s="86"/>
    </row>
    <row r="90" spans="1:1" s="90" customFormat="1" x14ac:dyDescent="0.2">
      <c r="A90" s="86"/>
    </row>
    <row r="91" spans="1:1" s="90" customFormat="1" x14ac:dyDescent="0.2">
      <c r="A91" s="86"/>
    </row>
    <row r="92" spans="1:1" s="90" customFormat="1" x14ac:dyDescent="0.2">
      <c r="A92" s="86"/>
    </row>
    <row r="93" spans="1:1" s="90" customFormat="1" x14ac:dyDescent="0.2">
      <c r="A93" s="86"/>
    </row>
    <row r="94" spans="1:1" s="90" customFormat="1" x14ac:dyDescent="0.2">
      <c r="A94" s="86"/>
    </row>
    <row r="95" spans="1:1" s="90" customFormat="1" x14ac:dyDescent="0.2">
      <c r="A95" s="86"/>
    </row>
    <row r="96" spans="1:1" s="90" customFormat="1" x14ac:dyDescent="0.2">
      <c r="A96" s="86"/>
    </row>
    <row r="97" spans="1:1" s="90" customFormat="1" x14ac:dyDescent="0.2">
      <c r="A97" s="86"/>
    </row>
    <row r="98" spans="1:1" s="90" customFormat="1" x14ac:dyDescent="0.2">
      <c r="A98" s="86"/>
    </row>
    <row r="99" spans="1:1" s="90" customFormat="1" x14ac:dyDescent="0.2">
      <c r="A99" s="86"/>
    </row>
    <row r="100" spans="1:1" s="90" customFormat="1" x14ac:dyDescent="0.2">
      <c r="A100" s="86"/>
    </row>
    <row r="101" spans="1:1" s="90" customFormat="1" x14ac:dyDescent="0.2">
      <c r="A101" s="86"/>
    </row>
    <row r="102" spans="1:1" s="90" customFormat="1" x14ac:dyDescent="0.2">
      <c r="A102" s="86"/>
    </row>
    <row r="103" spans="1:1" s="90" customFormat="1" x14ac:dyDescent="0.2">
      <c r="A103" s="86"/>
    </row>
    <row r="104" spans="1:1" s="90" customFormat="1" x14ac:dyDescent="0.2">
      <c r="A104" s="86"/>
    </row>
    <row r="105" spans="1:1" s="90" customFormat="1" x14ac:dyDescent="0.2">
      <c r="A105" s="86"/>
    </row>
    <row r="106" spans="1:1" s="90" customFormat="1" x14ac:dyDescent="0.2">
      <c r="A106" s="86"/>
    </row>
    <row r="107" spans="1:1" s="90" customFormat="1" x14ac:dyDescent="0.2">
      <c r="A107" s="86"/>
    </row>
    <row r="108" spans="1:1" s="90" customFormat="1" x14ac:dyDescent="0.2">
      <c r="A108" s="86"/>
    </row>
    <row r="109" spans="1:1" s="90" customFormat="1" x14ac:dyDescent="0.2">
      <c r="A109" s="86"/>
    </row>
    <row r="110" spans="1:1" s="90" customFormat="1" x14ac:dyDescent="0.2">
      <c r="A110" s="86"/>
    </row>
    <row r="111" spans="1:1" s="90" customFormat="1" x14ac:dyDescent="0.2">
      <c r="A111" s="86"/>
    </row>
    <row r="112" spans="1:1" s="90" customFormat="1" x14ac:dyDescent="0.2">
      <c r="A112" s="86"/>
    </row>
    <row r="113" spans="1:1" s="90" customFormat="1" x14ac:dyDescent="0.2">
      <c r="A113" s="86"/>
    </row>
    <row r="114" spans="1:1" s="90" customFormat="1" x14ac:dyDescent="0.2">
      <c r="A114" s="86"/>
    </row>
    <row r="115" spans="1:1" s="90" customFormat="1" x14ac:dyDescent="0.2">
      <c r="A115" s="86"/>
    </row>
    <row r="116" spans="1:1" s="90" customFormat="1" x14ac:dyDescent="0.2">
      <c r="A116" s="86"/>
    </row>
    <row r="117" spans="1:1" s="90" customFormat="1" x14ac:dyDescent="0.2">
      <c r="A117" s="86"/>
    </row>
    <row r="118" spans="1:1" s="90" customFormat="1" x14ac:dyDescent="0.2">
      <c r="A118" s="86"/>
    </row>
    <row r="119" spans="1:1" s="90" customFormat="1" x14ac:dyDescent="0.2">
      <c r="A119" s="86"/>
    </row>
    <row r="120" spans="1:1" s="90" customFormat="1" x14ac:dyDescent="0.2">
      <c r="A120" s="86"/>
    </row>
    <row r="121" spans="1:1" s="90" customFormat="1" x14ac:dyDescent="0.2">
      <c r="A121" s="86"/>
    </row>
    <row r="122" spans="1:1" s="90" customFormat="1" x14ac:dyDescent="0.2">
      <c r="A122" s="86"/>
    </row>
    <row r="123" spans="1:1" s="90" customFormat="1" x14ac:dyDescent="0.2">
      <c r="A123" s="86"/>
    </row>
    <row r="124" spans="1:1" s="90" customFormat="1" x14ac:dyDescent="0.2">
      <c r="A124" s="86"/>
    </row>
    <row r="125" spans="1:1" s="90" customFormat="1" x14ac:dyDescent="0.2">
      <c r="A125" s="86"/>
    </row>
    <row r="126" spans="1:1" s="90" customFormat="1" x14ac:dyDescent="0.2">
      <c r="A126" s="86"/>
    </row>
    <row r="127" spans="1:1" s="90" customFormat="1" x14ac:dyDescent="0.2">
      <c r="A127" s="86"/>
    </row>
    <row r="128" spans="1:1" s="90" customFormat="1" x14ac:dyDescent="0.2">
      <c r="A128" s="86"/>
    </row>
    <row r="129" spans="1:1" s="90" customFormat="1" x14ac:dyDescent="0.2">
      <c r="A129" s="86"/>
    </row>
    <row r="130" spans="1:1" s="90" customFormat="1" x14ac:dyDescent="0.2">
      <c r="A130" s="86"/>
    </row>
    <row r="131" spans="1:1" s="90" customFormat="1" x14ac:dyDescent="0.2">
      <c r="A131" s="86"/>
    </row>
    <row r="132" spans="1:1" s="90" customFormat="1" x14ac:dyDescent="0.2">
      <c r="A132" s="86"/>
    </row>
    <row r="133" spans="1:1" s="90" customFormat="1" x14ac:dyDescent="0.2">
      <c r="A133" s="86"/>
    </row>
    <row r="134" spans="1:1" s="90" customFormat="1" x14ac:dyDescent="0.2">
      <c r="A134" s="86"/>
    </row>
    <row r="135" spans="1:1" s="90" customFormat="1" x14ac:dyDescent="0.2">
      <c r="A135" s="86"/>
    </row>
    <row r="136" spans="1:1" s="90" customFormat="1" x14ac:dyDescent="0.2">
      <c r="A136" s="86"/>
    </row>
    <row r="137" spans="1:1" s="90" customFormat="1" x14ac:dyDescent="0.2">
      <c r="A137" s="86"/>
    </row>
    <row r="138" spans="1:1" s="90" customFormat="1" x14ac:dyDescent="0.2">
      <c r="A138" s="86"/>
    </row>
    <row r="139" spans="1:1" s="90" customFormat="1" x14ac:dyDescent="0.2">
      <c r="A139" s="86"/>
    </row>
    <row r="140" spans="1:1" s="90" customFormat="1" x14ac:dyDescent="0.2">
      <c r="A140" s="86"/>
    </row>
    <row r="141" spans="1:1" s="90" customFormat="1" x14ac:dyDescent="0.2">
      <c r="A141" s="86"/>
    </row>
    <row r="142" spans="1:1" s="90" customFormat="1" x14ac:dyDescent="0.2">
      <c r="A142" s="86"/>
    </row>
    <row r="143" spans="1:1" s="90" customFormat="1" x14ac:dyDescent="0.2">
      <c r="A143" s="86"/>
    </row>
    <row r="144" spans="1:1" s="90" customFormat="1" x14ac:dyDescent="0.2">
      <c r="A144" s="86"/>
    </row>
    <row r="145" spans="1:1" s="90" customFormat="1" x14ac:dyDescent="0.2">
      <c r="A145" s="86"/>
    </row>
    <row r="146" spans="1:1" s="90" customFormat="1" x14ac:dyDescent="0.2">
      <c r="A146" s="86"/>
    </row>
    <row r="147" spans="1:1" s="90" customFormat="1" x14ac:dyDescent="0.2">
      <c r="A147" s="86"/>
    </row>
    <row r="148" spans="1:1" s="90" customFormat="1" x14ac:dyDescent="0.2">
      <c r="A148" s="86"/>
    </row>
    <row r="149" spans="1:1" s="90" customFormat="1" x14ac:dyDescent="0.2">
      <c r="A149" s="86"/>
    </row>
    <row r="150" spans="1:1" s="90" customFormat="1" x14ac:dyDescent="0.2">
      <c r="A150" s="86"/>
    </row>
    <row r="151" spans="1:1" s="90" customFormat="1" x14ac:dyDescent="0.2">
      <c r="A151" s="86"/>
    </row>
    <row r="152" spans="1:1" s="90" customFormat="1" x14ac:dyDescent="0.2">
      <c r="A152" s="86"/>
    </row>
    <row r="153" spans="1:1" s="90" customFormat="1" x14ac:dyDescent="0.2">
      <c r="A153" s="86"/>
    </row>
    <row r="154" spans="1:1" s="90" customFormat="1" x14ac:dyDescent="0.2">
      <c r="A154" s="86"/>
    </row>
    <row r="155" spans="1:1" s="90" customFormat="1" x14ac:dyDescent="0.2">
      <c r="A155" s="86"/>
    </row>
    <row r="156" spans="1:1" s="90" customFormat="1" x14ac:dyDescent="0.2">
      <c r="A156" s="86"/>
    </row>
    <row r="157" spans="1:1" s="90" customFormat="1" x14ac:dyDescent="0.2">
      <c r="A157" s="86"/>
    </row>
    <row r="158" spans="1:1" s="90" customFormat="1" x14ac:dyDescent="0.2">
      <c r="A158" s="86"/>
    </row>
    <row r="159" spans="1:1" s="90" customFormat="1" x14ac:dyDescent="0.2">
      <c r="A159" s="86"/>
    </row>
    <row r="160" spans="1:1" s="90" customFormat="1" x14ac:dyDescent="0.2">
      <c r="A160" s="86"/>
    </row>
    <row r="161" spans="1:1" s="90" customFormat="1" x14ac:dyDescent="0.2">
      <c r="A161" s="86"/>
    </row>
    <row r="162" spans="1:1" s="90" customFormat="1" x14ac:dyDescent="0.2">
      <c r="A162" s="86"/>
    </row>
    <row r="163" spans="1:1" s="90" customFormat="1" x14ac:dyDescent="0.2">
      <c r="A163" s="86"/>
    </row>
    <row r="164" spans="1:1" s="90" customFormat="1" x14ac:dyDescent="0.2">
      <c r="A164" s="86"/>
    </row>
    <row r="165" spans="1:1" s="90" customFormat="1" x14ac:dyDescent="0.2">
      <c r="A165" s="86"/>
    </row>
    <row r="166" spans="1:1" s="90" customFormat="1" x14ac:dyDescent="0.2">
      <c r="A166" s="86"/>
    </row>
    <row r="167" spans="1:1" s="90" customFormat="1" x14ac:dyDescent="0.2">
      <c r="A167" s="86"/>
    </row>
    <row r="168" spans="1:1" s="90" customFormat="1" x14ac:dyDescent="0.2">
      <c r="A168" s="86"/>
    </row>
    <row r="169" spans="1:1" s="90" customFormat="1" x14ac:dyDescent="0.2">
      <c r="A169" s="86"/>
    </row>
    <row r="170" spans="1:1" s="90" customFormat="1" x14ac:dyDescent="0.2">
      <c r="A170" s="86"/>
    </row>
    <row r="171" spans="1:1" s="90" customFormat="1" x14ac:dyDescent="0.2">
      <c r="A171" s="86"/>
    </row>
    <row r="172" spans="1:1" s="90" customFormat="1" x14ac:dyDescent="0.2">
      <c r="A172" s="86"/>
    </row>
    <row r="173" spans="1:1" s="90" customFormat="1" x14ac:dyDescent="0.2">
      <c r="A173" s="86"/>
    </row>
    <row r="174" spans="1:1" s="90" customFormat="1" x14ac:dyDescent="0.2">
      <c r="A174" s="86"/>
    </row>
    <row r="175" spans="1:1" s="90" customFormat="1" x14ac:dyDescent="0.2">
      <c r="A175" s="86"/>
    </row>
    <row r="176" spans="1:1" s="90" customFormat="1" x14ac:dyDescent="0.2">
      <c r="A176" s="86"/>
    </row>
    <row r="177" spans="1:1" s="90" customFormat="1" x14ac:dyDescent="0.2">
      <c r="A177" s="86"/>
    </row>
    <row r="178" spans="1:1" s="90" customFormat="1" x14ac:dyDescent="0.2">
      <c r="A178" s="86"/>
    </row>
    <row r="179" spans="1:1" s="90" customFormat="1" x14ac:dyDescent="0.2">
      <c r="A179" s="86"/>
    </row>
    <row r="180" spans="1:1" s="90" customFormat="1" x14ac:dyDescent="0.2">
      <c r="A180" s="86"/>
    </row>
    <row r="181" spans="1:1" s="90" customFormat="1" x14ac:dyDescent="0.2">
      <c r="A181" s="86"/>
    </row>
    <row r="182" spans="1:1" s="90" customFormat="1" x14ac:dyDescent="0.2">
      <c r="A182" s="86"/>
    </row>
    <row r="183" spans="1:1" s="90" customFormat="1" x14ac:dyDescent="0.2">
      <c r="A183" s="86"/>
    </row>
    <row r="184" spans="1:1" s="90" customFormat="1" x14ac:dyDescent="0.2">
      <c r="A184" s="86"/>
    </row>
    <row r="185" spans="1:1" s="90" customFormat="1" x14ac:dyDescent="0.2">
      <c r="A185" s="86"/>
    </row>
    <row r="186" spans="1:1" s="90" customFormat="1" x14ac:dyDescent="0.2">
      <c r="A186" s="86"/>
    </row>
    <row r="187" spans="1:1" s="90" customFormat="1" x14ac:dyDescent="0.2">
      <c r="A187" s="86"/>
    </row>
    <row r="188" spans="1:1" s="90" customFormat="1" x14ac:dyDescent="0.2">
      <c r="A188" s="86"/>
    </row>
    <row r="189" spans="1:1" s="90" customFormat="1" x14ac:dyDescent="0.2">
      <c r="A189" s="86"/>
    </row>
    <row r="190" spans="1:1" s="90" customFormat="1" x14ac:dyDescent="0.2">
      <c r="A190" s="86"/>
    </row>
    <row r="191" spans="1:1" s="90" customFormat="1" x14ac:dyDescent="0.2">
      <c r="A191" s="86"/>
    </row>
    <row r="192" spans="1:1" s="90" customFormat="1" x14ac:dyDescent="0.2">
      <c r="A192" s="86"/>
    </row>
    <row r="193" spans="1:1" s="90" customFormat="1" x14ac:dyDescent="0.2">
      <c r="A193" s="86"/>
    </row>
    <row r="194" spans="1:1" s="90" customFormat="1" x14ac:dyDescent="0.2">
      <c r="A194" s="86"/>
    </row>
    <row r="195" spans="1:1" s="90" customFormat="1" x14ac:dyDescent="0.2">
      <c r="A195" s="86"/>
    </row>
    <row r="196" spans="1:1" s="90" customFormat="1" x14ac:dyDescent="0.2">
      <c r="A196" s="86"/>
    </row>
    <row r="197" spans="1:1" s="90" customFormat="1" x14ac:dyDescent="0.2">
      <c r="A197" s="86"/>
    </row>
    <row r="198" spans="1:1" s="90" customFormat="1" x14ac:dyDescent="0.2">
      <c r="A198" s="86"/>
    </row>
    <row r="199" spans="1:1" s="90" customFormat="1" x14ac:dyDescent="0.2">
      <c r="A199" s="86"/>
    </row>
    <row r="200" spans="1:1" s="90" customFormat="1" x14ac:dyDescent="0.2">
      <c r="A200" s="86"/>
    </row>
    <row r="201" spans="1:1" s="90" customFormat="1" x14ac:dyDescent="0.2">
      <c r="A201" s="86"/>
    </row>
    <row r="202" spans="1:1" s="90" customFormat="1" x14ac:dyDescent="0.2">
      <c r="A202" s="86"/>
    </row>
    <row r="203" spans="1:1" s="90" customFormat="1" x14ac:dyDescent="0.2">
      <c r="A203" s="86"/>
    </row>
    <row r="204" spans="1:1" s="90" customFormat="1" x14ac:dyDescent="0.2">
      <c r="A204" s="86"/>
    </row>
    <row r="205" spans="1:1" s="90" customFormat="1" x14ac:dyDescent="0.2">
      <c r="A205" s="86"/>
    </row>
    <row r="206" spans="1:1" s="90" customFormat="1" x14ac:dyDescent="0.2">
      <c r="A206" s="86"/>
    </row>
    <row r="207" spans="1:1" s="90" customFormat="1" x14ac:dyDescent="0.2">
      <c r="A207" s="86"/>
    </row>
    <row r="208" spans="1:1" s="90" customFormat="1" x14ac:dyDescent="0.2">
      <c r="A208" s="86"/>
    </row>
    <row r="209" spans="1:1" s="90" customFormat="1" x14ac:dyDescent="0.2">
      <c r="A209" s="86"/>
    </row>
    <row r="210" spans="1:1" s="90" customFormat="1" x14ac:dyDescent="0.2">
      <c r="A210" s="86"/>
    </row>
    <row r="211" spans="1:1" s="90" customFormat="1" x14ac:dyDescent="0.2">
      <c r="A211" s="86"/>
    </row>
    <row r="212" spans="1:1" s="90" customFormat="1" x14ac:dyDescent="0.2">
      <c r="A212" s="86"/>
    </row>
    <row r="213" spans="1:1" s="90" customFormat="1" x14ac:dyDescent="0.2">
      <c r="A213" s="86"/>
    </row>
    <row r="214" spans="1:1" s="90" customFormat="1" x14ac:dyDescent="0.2">
      <c r="A214" s="86"/>
    </row>
    <row r="215" spans="1:1" s="90" customFormat="1" x14ac:dyDescent="0.2">
      <c r="A215" s="86"/>
    </row>
    <row r="216" spans="1:1" s="90" customFormat="1" x14ac:dyDescent="0.2">
      <c r="A216" s="86"/>
    </row>
    <row r="217" spans="1:1" s="90" customFormat="1" x14ac:dyDescent="0.2">
      <c r="A217" s="86"/>
    </row>
    <row r="218" spans="1:1" s="90" customFormat="1" x14ac:dyDescent="0.2">
      <c r="A218" s="86"/>
    </row>
    <row r="219" spans="1:1" s="90" customFormat="1" x14ac:dyDescent="0.2">
      <c r="A219" s="86"/>
    </row>
    <row r="220" spans="1:1" s="90" customFormat="1" x14ac:dyDescent="0.2">
      <c r="A220" s="86"/>
    </row>
    <row r="221" spans="1:1" s="90" customFormat="1" x14ac:dyDescent="0.2">
      <c r="A221" s="86"/>
    </row>
    <row r="222" spans="1:1" s="90" customFormat="1" x14ac:dyDescent="0.2">
      <c r="A222" s="86"/>
    </row>
    <row r="223" spans="1:1" s="90" customFormat="1" x14ac:dyDescent="0.2">
      <c r="A223" s="86"/>
    </row>
    <row r="224" spans="1:1" s="90" customFormat="1" x14ac:dyDescent="0.2">
      <c r="A224" s="86"/>
    </row>
    <row r="225" spans="1:1" s="90" customFormat="1" x14ac:dyDescent="0.2">
      <c r="A225" s="86"/>
    </row>
    <row r="226" spans="1:1" s="90" customFormat="1" x14ac:dyDescent="0.2">
      <c r="A226" s="86"/>
    </row>
    <row r="227" spans="1:1" s="90" customFormat="1" x14ac:dyDescent="0.2">
      <c r="A227" s="86"/>
    </row>
    <row r="228" spans="1:1" s="90" customFormat="1" x14ac:dyDescent="0.2">
      <c r="A228" s="86"/>
    </row>
    <row r="229" spans="1:1" s="90" customFormat="1" x14ac:dyDescent="0.2">
      <c r="A229" s="86"/>
    </row>
    <row r="230" spans="1:1" s="90" customFormat="1" x14ac:dyDescent="0.2">
      <c r="A230" s="86"/>
    </row>
    <row r="231" spans="1:1" s="90" customFormat="1" x14ac:dyDescent="0.2">
      <c r="A231" s="86"/>
    </row>
    <row r="232" spans="1:1" s="90" customFormat="1" x14ac:dyDescent="0.2">
      <c r="A232" s="86"/>
    </row>
    <row r="233" spans="1:1" s="90" customFormat="1" x14ac:dyDescent="0.2">
      <c r="A233" s="86"/>
    </row>
    <row r="234" spans="1:1" s="90" customFormat="1" x14ac:dyDescent="0.2">
      <c r="A234" s="86"/>
    </row>
    <row r="235" spans="1:1" s="90" customFormat="1" x14ac:dyDescent="0.2">
      <c r="A235" s="86"/>
    </row>
    <row r="236" spans="1:1" s="90" customFormat="1" x14ac:dyDescent="0.2">
      <c r="A236" s="86"/>
    </row>
    <row r="237" spans="1:1" s="90" customFormat="1" x14ac:dyDescent="0.2">
      <c r="A237" s="86"/>
    </row>
    <row r="238" spans="1:1" s="90" customFormat="1" x14ac:dyDescent="0.2">
      <c r="A238" s="86"/>
    </row>
    <row r="239" spans="1:1" s="90" customFormat="1" x14ac:dyDescent="0.2">
      <c r="A239" s="86"/>
    </row>
    <row r="240" spans="1:1" s="90" customFormat="1" x14ac:dyDescent="0.2">
      <c r="A240" s="86"/>
    </row>
    <row r="241" spans="1:1" s="90" customFormat="1" x14ac:dyDescent="0.2">
      <c r="A241" s="86"/>
    </row>
    <row r="242" spans="1:1" s="90" customFormat="1" x14ac:dyDescent="0.2">
      <c r="A242" s="86"/>
    </row>
    <row r="243" spans="1:1" s="90" customFormat="1" x14ac:dyDescent="0.2">
      <c r="A243" s="86"/>
    </row>
    <row r="244" spans="1:1" s="90" customFormat="1" x14ac:dyDescent="0.2">
      <c r="A244" s="86"/>
    </row>
    <row r="245" spans="1:1" s="90" customFormat="1" x14ac:dyDescent="0.2">
      <c r="A245" s="86"/>
    </row>
    <row r="246" spans="1:1" s="90" customFormat="1" x14ac:dyDescent="0.2">
      <c r="A246" s="86"/>
    </row>
    <row r="247" spans="1:1" s="90" customFormat="1" x14ac:dyDescent="0.2">
      <c r="A247" s="86"/>
    </row>
    <row r="248" spans="1:1" s="90" customFormat="1" x14ac:dyDescent="0.2">
      <c r="A248" s="86"/>
    </row>
    <row r="249" spans="1:1" s="90" customFormat="1" x14ac:dyDescent="0.2">
      <c r="A249" s="86"/>
    </row>
    <row r="250" spans="1:1" s="90" customFormat="1" x14ac:dyDescent="0.2">
      <c r="A250" s="86"/>
    </row>
    <row r="251" spans="1:1" s="90" customFormat="1" x14ac:dyDescent="0.2">
      <c r="A251" s="86"/>
    </row>
    <row r="252" spans="1:1" s="90" customFormat="1" x14ac:dyDescent="0.2">
      <c r="A252" s="86"/>
    </row>
    <row r="253" spans="1:1" s="90" customFormat="1" x14ac:dyDescent="0.2">
      <c r="A253" s="86"/>
    </row>
    <row r="254" spans="1:1" s="90" customFormat="1" x14ac:dyDescent="0.2">
      <c r="A254" s="86"/>
    </row>
    <row r="255" spans="1:1" s="90" customFormat="1" x14ac:dyDescent="0.2">
      <c r="A255" s="86"/>
    </row>
    <row r="256" spans="1:1" s="90" customFormat="1" x14ac:dyDescent="0.2">
      <c r="A256" s="86"/>
    </row>
    <row r="257" spans="1:1" s="90" customFormat="1" x14ac:dyDescent="0.2">
      <c r="A257" s="86"/>
    </row>
    <row r="258" spans="1:1" s="90" customFormat="1" x14ac:dyDescent="0.2">
      <c r="A258" s="86"/>
    </row>
    <row r="259" spans="1:1" s="90" customFormat="1" x14ac:dyDescent="0.2">
      <c r="A259" s="86"/>
    </row>
    <row r="260" spans="1:1" s="90" customFormat="1" x14ac:dyDescent="0.2">
      <c r="A260" s="86"/>
    </row>
    <row r="261" spans="1:1" s="90" customFormat="1" x14ac:dyDescent="0.2">
      <c r="A261" s="86"/>
    </row>
    <row r="262" spans="1:1" s="90" customFormat="1" x14ac:dyDescent="0.2">
      <c r="A262" s="86"/>
    </row>
    <row r="263" spans="1:1" s="90" customFormat="1" x14ac:dyDescent="0.2">
      <c r="A263" s="86"/>
    </row>
    <row r="264" spans="1:1" s="90" customFormat="1" x14ac:dyDescent="0.2">
      <c r="A264" s="86"/>
    </row>
    <row r="265" spans="1:1" s="90" customFormat="1" x14ac:dyDescent="0.2">
      <c r="A265" s="86"/>
    </row>
    <row r="266" spans="1:1" s="90" customFormat="1" x14ac:dyDescent="0.2">
      <c r="A266" s="86"/>
    </row>
    <row r="267" spans="1:1" s="90" customFormat="1" x14ac:dyDescent="0.2">
      <c r="A267" s="86"/>
    </row>
    <row r="268" spans="1:1" s="90" customFormat="1" x14ac:dyDescent="0.2">
      <c r="A268" s="86"/>
    </row>
    <row r="269" spans="1:1" s="90" customFormat="1" x14ac:dyDescent="0.2">
      <c r="A269" s="86"/>
    </row>
    <row r="270" spans="1:1" s="90" customFormat="1" x14ac:dyDescent="0.2">
      <c r="A270" s="86"/>
    </row>
    <row r="271" spans="1:1" s="90" customFormat="1" x14ac:dyDescent="0.2">
      <c r="A271" s="86"/>
    </row>
    <row r="272" spans="1:1" s="90" customFormat="1" x14ac:dyDescent="0.2">
      <c r="A272" s="86"/>
    </row>
    <row r="273" spans="1:1" s="90" customFormat="1" x14ac:dyDescent="0.2">
      <c r="A273" s="86"/>
    </row>
    <row r="274" spans="1:1" s="90" customFormat="1" x14ac:dyDescent="0.2">
      <c r="A274" s="86"/>
    </row>
    <row r="275" spans="1:1" s="90" customFormat="1" x14ac:dyDescent="0.2">
      <c r="A275" s="86"/>
    </row>
    <row r="276" spans="1:1" s="90" customFormat="1" x14ac:dyDescent="0.2">
      <c r="A276" s="86"/>
    </row>
    <row r="277" spans="1:1" s="90" customFormat="1" x14ac:dyDescent="0.2">
      <c r="A277" s="86"/>
    </row>
    <row r="278" spans="1:1" s="90" customFormat="1" x14ac:dyDescent="0.2">
      <c r="A278" s="86"/>
    </row>
    <row r="279" spans="1:1" s="90" customFormat="1" x14ac:dyDescent="0.2">
      <c r="A279" s="86"/>
    </row>
    <row r="280" spans="1:1" s="90" customFormat="1" x14ac:dyDescent="0.2">
      <c r="A280" s="86"/>
    </row>
    <row r="281" spans="1:1" s="90" customFormat="1" x14ac:dyDescent="0.2">
      <c r="A281" s="86"/>
    </row>
    <row r="282" spans="1:1" s="90" customFormat="1" x14ac:dyDescent="0.2">
      <c r="A282" s="86"/>
    </row>
    <row r="283" spans="1:1" s="90" customFormat="1" x14ac:dyDescent="0.2">
      <c r="A283" s="86"/>
    </row>
    <row r="284" spans="1:1" s="90" customFormat="1" x14ac:dyDescent="0.2">
      <c r="A284" s="86"/>
    </row>
    <row r="285" spans="1:1" s="90" customFormat="1" x14ac:dyDescent="0.2">
      <c r="A285" s="86"/>
    </row>
    <row r="286" spans="1:1" s="90" customFormat="1" x14ac:dyDescent="0.2">
      <c r="A286" s="86"/>
    </row>
    <row r="287" spans="1:1" s="90" customFormat="1" x14ac:dyDescent="0.2">
      <c r="A287" s="86"/>
    </row>
    <row r="288" spans="1:1" s="90" customFormat="1" x14ac:dyDescent="0.2">
      <c r="A288" s="86"/>
    </row>
    <row r="289" spans="1:1" s="90" customFormat="1" x14ac:dyDescent="0.2">
      <c r="A289" s="86"/>
    </row>
    <row r="290" spans="1:1" s="90" customFormat="1" x14ac:dyDescent="0.2">
      <c r="A290" s="86"/>
    </row>
    <row r="291" spans="1:1" s="90" customFormat="1" x14ac:dyDescent="0.2">
      <c r="A291" s="86"/>
    </row>
    <row r="292" spans="1:1" s="90" customFormat="1" x14ac:dyDescent="0.2">
      <c r="A292" s="86"/>
    </row>
    <row r="293" spans="1:1" s="90" customFormat="1" x14ac:dyDescent="0.2">
      <c r="A293" s="86"/>
    </row>
    <row r="294" spans="1:1" s="90" customFormat="1" x14ac:dyDescent="0.2">
      <c r="A294" s="86"/>
    </row>
    <row r="295" spans="1:1" s="90" customFormat="1" x14ac:dyDescent="0.2">
      <c r="A295" s="86"/>
    </row>
    <row r="296" spans="1:1" s="90" customFormat="1" x14ac:dyDescent="0.2">
      <c r="A296" s="86"/>
    </row>
    <row r="297" spans="1:1" s="90" customFormat="1" x14ac:dyDescent="0.2">
      <c r="A297" s="86"/>
    </row>
    <row r="298" spans="1:1" s="90" customFormat="1" x14ac:dyDescent="0.2">
      <c r="A298" s="86"/>
    </row>
    <row r="299" spans="1:1" s="90" customFormat="1" x14ac:dyDescent="0.2">
      <c r="A299" s="86"/>
    </row>
    <row r="300" spans="1:1" s="90" customFormat="1" x14ac:dyDescent="0.2">
      <c r="A300" s="86"/>
    </row>
    <row r="301" spans="1:1" s="90" customFormat="1" x14ac:dyDescent="0.2">
      <c r="A301" s="86"/>
    </row>
    <row r="302" spans="1:1" s="90" customFormat="1" x14ac:dyDescent="0.2">
      <c r="A302" s="86"/>
    </row>
    <row r="303" spans="1:1" s="90" customFormat="1" x14ac:dyDescent="0.2">
      <c r="A303" s="86"/>
    </row>
    <row r="304" spans="1:1" s="90" customFormat="1" x14ac:dyDescent="0.2">
      <c r="A304" s="86"/>
    </row>
    <row r="305" spans="1:1" s="90" customFormat="1" x14ac:dyDescent="0.2">
      <c r="A305" s="86"/>
    </row>
    <row r="306" spans="1:1" s="90" customFormat="1" x14ac:dyDescent="0.2">
      <c r="A306" s="86"/>
    </row>
    <row r="307" spans="1:1" s="90" customFormat="1" x14ac:dyDescent="0.2">
      <c r="A307" s="86"/>
    </row>
    <row r="308" spans="1:1" s="90" customFormat="1" x14ac:dyDescent="0.2">
      <c r="A308" s="86"/>
    </row>
    <row r="309" spans="1:1" s="90" customFormat="1" x14ac:dyDescent="0.2">
      <c r="A309" s="86"/>
    </row>
    <row r="310" spans="1:1" s="90" customFormat="1" x14ac:dyDescent="0.2">
      <c r="A310" s="86"/>
    </row>
    <row r="311" spans="1:1" s="90" customFormat="1" x14ac:dyDescent="0.2">
      <c r="A311" s="86"/>
    </row>
    <row r="312" spans="1:1" s="90" customFormat="1" x14ac:dyDescent="0.2">
      <c r="A312" s="86"/>
    </row>
    <row r="313" spans="1:1" s="90" customFormat="1" x14ac:dyDescent="0.2">
      <c r="A313" s="86"/>
    </row>
    <row r="314" spans="1:1" s="90" customFormat="1" x14ac:dyDescent="0.2">
      <c r="A314" s="86"/>
    </row>
    <row r="315" spans="1:1" s="90" customFormat="1" x14ac:dyDescent="0.2">
      <c r="A315" s="86"/>
    </row>
    <row r="316" spans="1:1" s="90" customFormat="1" x14ac:dyDescent="0.2">
      <c r="A316" s="86"/>
    </row>
    <row r="317" spans="1:1" s="90" customFormat="1" x14ac:dyDescent="0.2">
      <c r="A317" s="86"/>
    </row>
    <row r="318" spans="1:1" s="90" customFormat="1" x14ac:dyDescent="0.2">
      <c r="A318" s="86"/>
    </row>
    <row r="319" spans="1:1" s="90" customFormat="1" x14ac:dyDescent="0.2">
      <c r="A319" s="86"/>
    </row>
    <row r="320" spans="1:1" s="90" customFormat="1" x14ac:dyDescent="0.2">
      <c r="A320" s="86"/>
    </row>
    <row r="321" spans="1:1" s="90" customFormat="1" x14ac:dyDescent="0.2">
      <c r="A321" s="86"/>
    </row>
    <row r="322" spans="1:1" s="90" customFormat="1" x14ac:dyDescent="0.2">
      <c r="A322" s="86"/>
    </row>
    <row r="323" spans="1:1" s="90" customFormat="1" x14ac:dyDescent="0.2">
      <c r="A323" s="86"/>
    </row>
    <row r="324" spans="1:1" s="90" customFormat="1" x14ac:dyDescent="0.2">
      <c r="A324" s="86"/>
    </row>
    <row r="325" spans="1:1" s="90" customFormat="1" x14ac:dyDescent="0.2">
      <c r="A325" s="86"/>
    </row>
    <row r="326" spans="1:1" s="90" customFormat="1" x14ac:dyDescent="0.2">
      <c r="A326" s="86"/>
    </row>
    <row r="327" spans="1:1" s="90" customFormat="1" x14ac:dyDescent="0.2">
      <c r="A327" s="86"/>
    </row>
    <row r="328" spans="1:1" s="90" customFormat="1" x14ac:dyDescent="0.2">
      <c r="A328" s="86"/>
    </row>
    <row r="329" spans="1:1" s="90" customFormat="1" x14ac:dyDescent="0.2">
      <c r="A329" s="86"/>
    </row>
    <row r="330" spans="1:1" s="90" customFormat="1" x14ac:dyDescent="0.2">
      <c r="A330" s="86"/>
    </row>
    <row r="331" spans="1:1" s="90" customFormat="1" x14ac:dyDescent="0.2">
      <c r="A331" s="86"/>
    </row>
    <row r="332" spans="1:1" s="90" customFormat="1" x14ac:dyDescent="0.2">
      <c r="A332" s="86"/>
    </row>
    <row r="333" spans="1:1" s="90" customFormat="1" x14ac:dyDescent="0.2">
      <c r="A333" s="86"/>
    </row>
    <row r="334" spans="1:1" s="90" customFormat="1" x14ac:dyDescent="0.2">
      <c r="A334" s="86"/>
    </row>
    <row r="335" spans="1:1" s="90" customFormat="1" x14ac:dyDescent="0.2">
      <c r="A335" s="86"/>
    </row>
    <row r="336" spans="1:1" s="90" customFormat="1" x14ac:dyDescent="0.2">
      <c r="A336" s="86"/>
    </row>
    <row r="337" spans="1:1" s="90" customFormat="1" x14ac:dyDescent="0.2">
      <c r="A337" s="86"/>
    </row>
    <row r="338" spans="1:1" s="90" customFormat="1" x14ac:dyDescent="0.2">
      <c r="A338" s="86"/>
    </row>
    <row r="339" spans="1:1" s="90" customFormat="1" x14ac:dyDescent="0.2">
      <c r="A339" s="86"/>
    </row>
    <row r="340" spans="1:1" s="90" customFormat="1" x14ac:dyDescent="0.2">
      <c r="A340" s="86"/>
    </row>
    <row r="341" spans="1:1" s="90" customFormat="1" x14ac:dyDescent="0.2">
      <c r="A341" s="86"/>
    </row>
    <row r="342" spans="1:1" s="90" customFormat="1" x14ac:dyDescent="0.2">
      <c r="A342" s="86"/>
    </row>
    <row r="343" spans="1:1" s="90" customFormat="1" x14ac:dyDescent="0.2">
      <c r="A343" s="86"/>
    </row>
    <row r="344" spans="1:1" s="90" customFormat="1" x14ac:dyDescent="0.2">
      <c r="A344" s="86"/>
    </row>
    <row r="345" spans="1:1" s="90" customFormat="1" x14ac:dyDescent="0.2">
      <c r="A345" s="86"/>
    </row>
    <row r="346" spans="1:1" s="90" customFormat="1" x14ac:dyDescent="0.2">
      <c r="A346" s="86"/>
    </row>
    <row r="347" spans="1:1" s="90" customFormat="1" x14ac:dyDescent="0.2">
      <c r="A347" s="86"/>
    </row>
    <row r="348" spans="1:1" s="90" customFormat="1" x14ac:dyDescent="0.2">
      <c r="A348" s="86"/>
    </row>
    <row r="349" spans="1:1" s="90" customFormat="1" x14ac:dyDescent="0.2">
      <c r="A349" s="86"/>
    </row>
    <row r="350" spans="1:1" s="90" customFormat="1" x14ac:dyDescent="0.2">
      <c r="A350" s="86"/>
    </row>
    <row r="351" spans="1:1" s="90" customFormat="1" x14ac:dyDescent="0.2">
      <c r="A351" s="86"/>
    </row>
    <row r="352" spans="1:1" s="90" customFormat="1" x14ac:dyDescent="0.2">
      <c r="A352" s="86"/>
    </row>
    <row r="353" spans="1:1" s="90" customFormat="1" x14ac:dyDescent="0.2">
      <c r="A353" s="86"/>
    </row>
    <row r="354" spans="1:1" s="90" customFormat="1" x14ac:dyDescent="0.2">
      <c r="A354" s="86"/>
    </row>
    <row r="355" spans="1:1" s="90" customFormat="1" x14ac:dyDescent="0.2">
      <c r="A355" s="86"/>
    </row>
    <row r="356" spans="1:1" s="90" customFormat="1" x14ac:dyDescent="0.2">
      <c r="A356" s="86"/>
    </row>
    <row r="357" spans="1:1" s="90" customFormat="1" x14ac:dyDescent="0.2">
      <c r="A357" s="86"/>
    </row>
    <row r="358" spans="1:1" s="90" customFormat="1" x14ac:dyDescent="0.2">
      <c r="A358" s="86"/>
    </row>
    <row r="359" spans="1:1" s="90" customFormat="1" x14ac:dyDescent="0.2">
      <c r="A359" s="86"/>
    </row>
    <row r="360" spans="1:1" s="90" customFormat="1" x14ac:dyDescent="0.2">
      <c r="A360" s="86"/>
    </row>
    <row r="361" spans="1:1" s="90" customFormat="1" x14ac:dyDescent="0.2">
      <c r="A361" s="86"/>
    </row>
    <row r="362" spans="1:1" s="90" customFormat="1" x14ac:dyDescent="0.2">
      <c r="A362" s="86"/>
    </row>
    <row r="363" spans="1:1" s="90" customFormat="1" x14ac:dyDescent="0.2">
      <c r="A363" s="86"/>
    </row>
    <row r="364" spans="1:1" s="90" customFormat="1" x14ac:dyDescent="0.2">
      <c r="A364" s="86"/>
    </row>
    <row r="365" spans="1:1" s="90" customFormat="1" x14ac:dyDescent="0.2">
      <c r="A365" s="86"/>
    </row>
    <row r="366" spans="1:1" s="90" customFormat="1" x14ac:dyDescent="0.2">
      <c r="A366" s="86"/>
    </row>
    <row r="367" spans="1:1" s="90" customFormat="1" x14ac:dyDescent="0.2">
      <c r="A367" s="86"/>
    </row>
    <row r="368" spans="1:1" s="90" customFormat="1" x14ac:dyDescent="0.2">
      <c r="A368" s="86"/>
    </row>
    <row r="369" spans="1:1" s="90" customFormat="1" x14ac:dyDescent="0.2">
      <c r="A369" s="86"/>
    </row>
    <row r="370" spans="1:1" s="90" customFormat="1" x14ac:dyDescent="0.2">
      <c r="A370" s="86"/>
    </row>
    <row r="371" spans="1:1" s="90" customFormat="1" x14ac:dyDescent="0.2">
      <c r="A371" s="86"/>
    </row>
    <row r="372" spans="1:1" s="90" customFormat="1" x14ac:dyDescent="0.2">
      <c r="A372" s="86"/>
    </row>
    <row r="373" spans="1:1" s="90" customFormat="1" x14ac:dyDescent="0.2">
      <c r="A373" s="86"/>
    </row>
    <row r="374" spans="1:1" s="90" customFormat="1" x14ac:dyDescent="0.2">
      <c r="A374" s="86"/>
    </row>
    <row r="375" spans="1:1" s="90" customFormat="1" x14ac:dyDescent="0.2">
      <c r="A375" s="86"/>
    </row>
    <row r="376" spans="1:1" s="90" customFormat="1" x14ac:dyDescent="0.2">
      <c r="A376" s="86"/>
    </row>
    <row r="377" spans="1:1" s="90" customFormat="1" x14ac:dyDescent="0.2">
      <c r="A377" s="86"/>
    </row>
    <row r="378" spans="1:1" s="90" customFormat="1" x14ac:dyDescent="0.2">
      <c r="A378" s="86"/>
    </row>
    <row r="379" spans="1:1" s="90" customFormat="1" x14ac:dyDescent="0.2">
      <c r="A379" s="86"/>
    </row>
    <row r="380" spans="1:1" s="90" customFormat="1" x14ac:dyDescent="0.2">
      <c r="A380" s="86"/>
    </row>
    <row r="381" spans="1:1" s="90" customFormat="1" x14ac:dyDescent="0.2">
      <c r="A381" s="86"/>
    </row>
    <row r="382" spans="1:1" s="90" customFormat="1" x14ac:dyDescent="0.2">
      <c r="A382" s="86"/>
    </row>
    <row r="383" spans="1:1" s="90" customFormat="1" x14ac:dyDescent="0.2">
      <c r="A383" s="86"/>
    </row>
    <row r="384" spans="1:1" s="90" customFormat="1" x14ac:dyDescent="0.2">
      <c r="A384" s="86"/>
    </row>
    <row r="385" spans="1:1" s="90" customFormat="1" x14ac:dyDescent="0.2">
      <c r="A385" s="86"/>
    </row>
    <row r="386" spans="1:1" s="90" customFormat="1" x14ac:dyDescent="0.2">
      <c r="A386" s="86"/>
    </row>
    <row r="387" spans="1:1" s="90" customFormat="1" x14ac:dyDescent="0.2">
      <c r="A387" s="86"/>
    </row>
    <row r="388" spans="1:1" s="90" customFormat="1" x14ac:dyDescent="0.2">
      <c r="A388" s="86"/>
    </row>
    <row r="389" spans="1:1" s="90" customFormat="1" x14ac:dyDescent="0.2">
      <c r="A389" s="86"/>
    </row>
    <row r="390" spans="1:1" s="90" customFormat="1" x14ac:dyDescent="0.2">
      <c r="A390" s="86"/>
    </row>
    <row r="391" spans="1:1" s="90" customFormat="1" x14ac:dyDescent="0.2">
      <c r="A391" s="86"/>
    </row>
    <row r="392" spans="1:1" s="90" customFormat="1" x14ac:dyDescent="0.2">
      <c r="A392" s="86"/>
    </row>
    <row r="393" spans="1:1" s="90" customFormat="1" x14ac:dyDescent="0.2">
      <c r="A393" s="86"/>
    </row>
    <row r="394" spans="1:1" s="90" customFormat="1" x14ac:dyDescent="0.2">
      <c r="A394" s="86"/>
    </row>
    <row r="395" spans="1:1" s="90" customFormat="1" x14ac:dyDescent="0.2">
      <c r="A395" s="86"/>
    </row>
    <row r="396" spans="1:1" s="90" customFormat="1" x14ac:dyDescent="0.2">
      <c r="A396" s="86"/>
    </row>
    <row r="397" spans="1:1" s="90" customFormat="1" x14ac:dyDescent="0.2">
      <c r="A397" s="86"/>
    </row>
    <row r="398" spans="1:1" s="90" customFormat="1" x14ac:dyDescent="0.2">
      <c r="A398" s="86"/>
    </row>
    <row r="399" spans="1:1" s="90" customFormat="1" x14ac:dyDescent="0.2">
      <c r="A399" s="86"/>
    </row>
    <row r="400" spans="1:1" s="90" customFormat="1" x14ac:dyDescent="0.2">
      <c r="A400" s="86"/>
    </row>
    <row r="401" spans="1:1" s="90" customFormat="1" x14ac:dyDescent="0.2">
      <c r="A401" s="86"/>
    </row>
    <row r="402" spans="1:1" s="90" customFormat="1" x14ac:dyDescent="0.2">
      <c r="A402" s="86"/>
    </row>
    <row r="403" spans="1:1" s="90" customFormat="1" x14ac:dyDescent="0.2">
      <c r="A403" s="86"/>
    </row>
    <row r="404" spans="1:1" s="90" customFormat="1" x14ac:dyDescent="0.2">
      <c r="A404" s="86"/>
    </row>
    <row r="405" spans="1:1" s="90" customFormat="1" x14ac:dyDescent="0.2">
      <c r="A405" s="86"/>
    </row>
    <row r="406" spans="1:1" s="90" customFormat="1" x14ac:dyDescent="0.2">
      <c r="A406" s="86"/>
    </row>
    <row r="407" spans="1:1" s="90" customFormat="1" x14ac:dyDescent="0.2">
      <c r="A407" s="86"/>
    </row>
    <row r="408" spans="1:1" s="90" customFormat="1" x14ac:dyDescent="0.2">
      <c r="A408" s="86"/>
    </row>
    <row r="409" spans="1:1" s="90" customFormat="1" x14ac:dyDescent="0.2">
      <c r="A409" s="86"/>
    </row>
    <row r="410" spans="1:1" s="90" customFormat="1" x14ac:dyDescent="0.2">
      <c r="A410" s="86"/>
    </row>
    <row r="411" spans="1:1" s="90" customFormat="1" x14ac:dyDescent="0.2">
      <c r="A411" s="86"/>
    </row>
    <row r="412" spans="1:1" s="90" customFormat="1" x14ac:dyDescent="0.2">
      <c r="A412" s="86"/>
    </row>
    <row r="413" spans="1:1" s="90" customFormat="1" x14ac:dyDescent="0.2">
      <c r="A413" s="86"/>
    </row>
    <row r="414" spans="1:1" s="90" customFormat="1" x14ac:dyDescent="0.2">
      <c r="A414" s="86"/>
    </row>
    <row r="415" spans="1:1" s="90" customFormat="1" x14ac:dyDescent="0.2">
      <c r="A415" s="86"/>
    </row>
    <row r="416" spans="1:1" s="90" customFormat="1" x14ac:dyDescent="0.2">
      <c r="A416" s="86"/>
    </row>
    <row r="417" spans="1:1" s="90" customFormat="1" x14ac:dyDescent="0.2">
      <c r="A417" s="86"/>
    </row>
    <row r="418" spans="1:1" s="90" customFormat="1" x14ac:dyDescent="0.2">
      <c r="A418" s="86"/>
    </row>
    <row r="419" spans="1:1" s="90" customFormat="1" x14ac:dyDescent="0.2">
      <c r="A419" s="86"/>
    </row>
    <row r="420" spans="1:1" s="90" customFormat="1" x14ac:dyDescent="0.2">
      <c r="A420" s="86"/>
    </row>
    <row r="421" spans="1:1" s="90" customFormat="1" x14ac:dyDescent="0.2">
      <c r="A421" s="86"/>
    </row>
    <row r="422" spans="1:1" s="90" customFormat="1" x14ac:dyDescent="0.2">
      <c r="A422" s="86"/>
    </row>
  </sheetData>
  <sheetProtection sheet="1" objects="1" scenarios="1"/>
  <mergeCells count="417">
    <mergeCell ref="I1:Y2"/>
    <mergeCell ref="B4:K4"/>
    <mergeCell ref="L4:Y4"/>
    <mergeCell ref="D41:E41"/>
    <mergeCell ref="D43:E43"/>
    <mergeCell ref="V34:W34"/>
    <mergeCell ref="J34:K34"/>
    <mergeCell ref="F6:G6"/>
    <mergeCell ref="D6:E6"/>
    <mergeCell ref="B6:C6"/>
    <mergeCell ref="D5:E5"/>
    <mergeCell ref="B5:C5"/>
    <mergeCell ref="F5:G5"/>
    <mergeCell ref="V36:W36"/>
    <mergeCell ref="D23:E23"/>
    <mergeCell ref="D24:E24"/>
    <mergeCell ref="D25:E25"/>
    <mergeCell ref="D26:E26"/>
    <mergeCell ref="D34:E34"/>
    <mergeCell ref="D13:E13"/>
    <mergeCell ref="J30:K30"/>
    <mergeCell ref="J28:K28"/>
    <mergeCell ref="H28:I28"/>
    <mergeCell ref="J36:K36"/>
    <mergeCell ref="A48:AB48"/>
    <mergeCell ref="B25:C25"/>
    <mergeCell ref="B15:C15"/>
    <mergeCell ref="B17:C17"/>
    <mergeCell ref="B18:C18"/>
    <mergeCell ref="B19:C19"/>
    <mergeCell ref="B20:C20"/>
    <mergeCell ref="D37:E37"/>
    <mergeCell ref="D38:E38"/>
    <mergeCell ref="D39:E39"/>
    <mergeCell ref="D30:E30"/>
    <mergeCell ref="D31:E31"/>
    <mergeCell ref="D35:E35"/>
    <mergeCell ref="D27:E27"/>
    <mergeCell ref="D28:E28"/>
    <mergeCell ref="D29:E29"/>
    <mergeCell ref="D20:E20"/>
    <mergeCell ref="D36:E36"/>
    <mergeCell ref="V35:W35"/>
    <mergeCell ref="F35:G35"/>
    <mergeCell ref="F36:G36"/>
    <mergeCell ref="F37:G37"/>
    <mergeCell ref="X16:Y16"/>
    <mergeCell ref="H34:I34"/>
    <mergeCell ref="D12:E12"/>
    <mergeCell ref="D14:E14"/>
    <mergeCell ref="J37:K37"/>
    <mergeCell ref="H36:I36"/>
    <mergeCell ref="H37:I37"/>
    <mergeCell ref="N5:O5"/>
    <mergeCell ref="L5:M5"/>
    <mergeCell ref="R5:S5"/>
    <mergeCell ref="X5:Y5"/>
    <mergeCell ref="H5:I5"/>
    <mergeCell ref="R6:S6"/>
    <mergeCell ref="T5:U5"/>
    <mergeCell ref="T6:U6"/>
    <mergeCell ref="X6:Y6"/>
    <mergeCell ref="P5:Q5"/>
    <mergeCell ref="L6:M6"/>
    <mergeCell ref="N6:O6"/>
    <mergeCell ref="P6:Q6"/>
    <mergeCell ref="V5:W5"/>
    <mergeCell ref="V6:W6"/>
    <mergeCell ref="J5:K5"/>
    <mergeCell ref="J6:K6"/>
    <mergeCell ref="H6:I6"/>
    <mergeCell ref="V37:W37"/>
    <mergeCell ref="B9:C9"/>
    <mergeCell ref="B11:C11"/>
    <mergeCell ref="B12:C12"/>
    <mergeCell ref="B36:C36"/>
    <mergeCell ref="B37:C37"/>
    <mergeCell ref="B26:C26"/>
    <mergeCell ref="B27:C27"/>
    <mergeCell ref="B28:C28"/>
    <mergeCell ref="B29:C29"/>
    <mergeCell ref="B30:C30"/>
    <mergeCell ref="B23:C23"/>
    <mergeCell ref="B24:C24"/>
    <mergeCell ref="B14:C14"/>
    <mergeCell ref="B34:C34"/>
    <mergeCell ref="B10:C10"/>
    <mergeCell ref="B13:C13"/>
    <mergeCell ref="B31:C31"/>
    <mergeCell ref="B21:C21"/>
    <mergeCell ref="B22:C22"/>
    <mergeCell ref="B35:C35"/>
    <mergeCell ref="F34:G34"/>
    <mergeCell ref="J35:K35"/>
    <mergeCell ref="H35:I35"/>
    <mergeCell ref="H24:I24"/>
    <mergeCell ref="F24:G24"/>
    <mergeCell ref="F21:G21"/>
    <mergeCell ref="F22:G22"/>
    <mergeCell ref="F23:G23"/>
    <mergeCell ref="H21:I21"/>
    <mergeCell ref="H22:I22"/>
    <mergeCell ref="H23:I23"/>
    <mergeCell ref="J22:K22"/>
    <mergeCell ref="J23:K23"/>
    <mergeCell ref="J24:K24"/>
    <mergeCell ref="F31:G31"/>
    <mergeCell ref="H31:I31"/>
    <mergeCell ref="J31:K31"/>
    <mergeCell ref="F28:G28"/>
    <mergeCell ref="H30:I30"/>
    <mergeCell ref="H29:I29"/>
    <mergeCell ref="F29:G29"/>
    <mergeCell ref="F30:G30"/>
    <mergeCell ref="F25:G25"/>
    <mergeCell ref="H25:I25"/>
    <mergeCell ref="D15:E15"/>
    <mergeCell ref="D17:E17"/>
    <mergeCell ref="D18:E18"/>
    <mergeCell ref="D19:E19"/>
    <mergeCell ref="D21:E21"/>
    <mergeCell ref="D22:E22"/>
    <mergeCell ref="J18:K18"/>
    <mergeCell ref="H15:I15"/>
    <mergeCell ref="J15:K15"/>
    <mergeCell ref="J21:K21"/>
    <mergeCell ref="J20:K20"/>
    <mergeCell ref="F20:G20"/>
    <mergeCell ref="H20:I20"/>
    <mergeCell ref="R12:S12"/>
    <mergeCell ref="P12:Q12"/>
    <mergeCell ref="J19:K19"/>
    <mergeCell ref="H19:I19"/>
    <mergeCell ref="F19:G19"/>
    <mergeCell ref="V12:W12"/>
    <mergeCell ref="J12:K12"/>
    <mergeCell ref="H12:I12"/>
    <mergeCell ref="F12:G12"/>
    <mergeCell ref="F13:G13"/>
    <mergeCell ref="H13:I13"/>
    <mergeCell ref="J13:K13"/>
    <mergeCell ref="V13:W13"/>
    <mergeCell ref="V14:W14"/>
    <mergeCell ref="J14:K14"/>
    <mergeCell ref="H14:I14"/>
    <mergeCell ref="F14:G14"/>
    <mergeCell ref="J17:K17"/>
    <mergeCell ref="H17:I17"/>
    <mergeCell ref="F17:G17"/>
    <mergeCell ref="F18:G18"/>
    <mergeCell ref="H18:I18"/>
    <mergeCell ref="F15:G15"/>
    <mergeCell ref="N19:O19"/>
    <mergeCell ref="J25:K25"/>
    <mergeCell ref="J29:K29"/>
    <mergeCell ref="J26:K26"/>
    <mergeCell ref="H26:I26"/>
    <mergeCell ref="F26:G26"/>
    <mergeCell ref="F27:G27"/>
    <mergeCell ref="H27:I27"/>
    <mergeCell ref="J27:K27"/>
    <mergeCell ref="R20:S20"/>
    <mergeCell ref="R25:S25"/>
    <mergeCell ref="R23:S23"/>
    <mergeCell ref="R24:S24"/>
    <mergeCell ref="V31:W31"/>
    <mergeCell ref="V29:W29"/>
    <mergeCell ref="V30:W30"/>
    <mergeCell ref="L31:M31"/>
    <mergeCell ref="R22:S22"/>
    <mergeCell ref="V28:W28"/>
    <mergeCell ref="L28:M28"/>
    <mergeCell ref="L24:M24"/>
    <mergeCell ref="L25:M25"/>
    <mergeCell ref="V24:W24"/>
    <mergeCell ref="N27:O27"/>
    <mergeCell ref="L22:M22"/>
    <mergeCell ref="L23:M23"/>
    <mergeCell ref="R26:S26"/>
    <mergeCell ref="V27:W27"/>
    <mergeCell ref="P27:Q27"/>
    <mergeCell ref="N30:O30"/>
    <mergeCell ref="P30:Q30"/>
    <mergeCell ref="P31:Q31"/>
    <mergeCell ref="N22:O22"/>
    <mergeCell ref="V22:W22"/>
    <mergeCell ref="V23:W23"/>
    <mergeCell ref="P22:Q22"/>
    <mergeCell ref="L12:M12"/>
    <mergeCell ref="L13:M13"/>
    <mergeCell ref="P20:Q20"/>
    <mergeCell ref="N20:O20"/>
    <mergeCell ref="N21:O21"/>
    <mergeCell ref="L14:M14"/>
    <mergeCell ref="L15:M15"/>
    <mergeCell ref="L17:M17"/>
    <mergeCell ref="L34:M34"/>
    <mergeCell ref="L30:M30"/>
    <mergeCell ref="P26:Q26"/>
    <mergeCell ref="N26:O26"/>
    <mergeCell ref="N28:O28"/>
    <mergeCell ref="P24:Q24"/>
    <mergeCell ref="P25:Q25"/>
    <mergeCell ref="N24:O24"/>
    <mergeCell ref="N25:O25"/>
    <mergeCell ref="P28:Q28"/>
    <mergeCell ref="L29:M29"/>
    <mergeCell ref="L36:M36"/>
    <mergeCell ref="L26:M26"/>
    <mergeCell ref="L27:M27"/>
    <mergeCell ref="N23:O23"/>
    <mergeCell ref="P23:Q23"/>
    <mergeCell ref="L21:M21"/>
    <mergeCell ref="N29:O29"/>
    <mergeCell ref="P29:Q29"/>
    <mergeCell ref="P36:Q36"/>
    <mergeCell ref="N36:O36"/>
    <mergeCell ref="N31:O31"/>
    <mergeCell ref="L35:M35"/>
    <mergeCell ref="N35:O35"/>
    <mergeCell ref="P35:Q35"/>
    <mergeCell ref="P34:Q34"/>
    <mergeCell ref="N34:O34"/>
    <mergeCell ref="P21:Q21"/>
    <mergeCell ref="R17:S17"/>
    <mergeCell ref="R14:S14"/>
    <mergeCell ref="R19:S19"/>
    <mergeCell ref="T19:U19"/>
    <mergeCell ref="F9:G9"/>
    <mergeCell ref="H9:I9"/>
    <mergeCell ref="J9:K9"/>
    <mergeCell ref="R18:S18"/>
    <mergeCell ref="R21:S21"/>
    <mergeCell ref="T21:U21"/>
    <mergeCell ref="L18:M18"/>
    <mergeCell ref="L19:M19"/>
    <mergeCell ref="P19:Q19"/>
    <mergeCell ref="L20:M20"/>
    <mergeCell ref="P18:Q18"/>
    <mergeCell ref="N18:O18"/>
    <mergeCell ref="P11:Q11"/>
    <mergeCell ref="N13:O13"/>
    <mergeCell ref="P13:Q13"/>
    <mergeCell ref="P14:Q14"/>
    <mergeCell ref="N14:O14"/>
    <mergeCell ref="N15:O15"/>
    <mergeCell ref="P15:Q15"/>
    <mergeCell ref="N12:O12"/>
    <mergeCell ref="V9:W9"/>
    <mergeCell ref="H11:I11"/>
    <mergeCell ref="D9:E9"/>
    <mergeCell ref="D11:E11"/>
    <mergeCell ref="J10:K10"/>
    <mergeCell ref="H10:I10"/>
    <mergeCell ref="F10:G10"/>
    <mergeCell ref="D10:E10"/>
    <mergeCell ref="F11:G11"/>
    <mergeCell ref="R9:S9"/>
    <mergeCell ref="T9:U9"/>
    <mergeCell ref="P9:Q9"/>
    <mergeCell ref="N9:O9"/>
    <mergeCell ref="L9:M9"/>
    <mergeCell ref="P10:Q10"/>
    <mergeCell ref="J11:K11"/>
    <mergeCell ref="V11:W11"/>
    <mergeCell ref="L11:M11"/>
    <mergeCell ref="R11:S11"/>
    <mergeCell ref="T11:U11"/>
    <mergeCell ref="N11:O11"/>
    <mergeCell ref="X10:Y10"/>
    <mergeCell ref="T10:U10"/>
    <mergeCell ref="R10:S10"/>
    <mergeCell ref="L10:M10"/>
    <mergeCell ref="N10:O10"/>
    <mergeCell ref="X11:Y11"/>
    <mergeCell ref="X9:Y9"/>
    <mergeCell ref="X23:Y23"/>
    <mergeCell ref="X24:Y24"/>
    <mergeCell ref="T24:U24"/>
    <mergeCell ref="P17:Q17"/>
    <mergeCell ref="N17:O17"/>
    <mergeCell ref="R13:S13"/>
    <mergeCell ref="X13:Y13"/>
    <mergeCell ref="X21:Y21"/>
    <mergeCell ref="X22:Y22"/>
    <mergeCell ref="X15:Y15"/>
    <mergeCell ref="X17:Y17"/>
    <mergeCell ref="X20:Y20"/>
    <mergeCell ref="V19:W19"/>
    <mergeCell ref="V16:W16"/>
    <mergeCell ref="R16:S16"/>
    <mergeCell ref="R15:S15"/>
    <mergeCell ref="T15:U15"/>
    <mergeCell ref="X26:Y26"/>
    <mergeCell ref="T26:U26"/>
    <mergeCell ref="T23:U23"/>
    <mergeCell ref="X12:Y12"/>
    <mergeCell ref="T18:U18"/>
    <mergeCell ref="X18:Y18"/>
    <mergeCell ref="X19:Y19"/>
    <mergeCell ref="X14:Y14"/>
    <mergeCell ref="T13:U13"/>
    <mergeCell ref="T12:U12"/>
    <mergeCell ref="T14:U14"/>
    <mergeCell ref="V25:W25"/>
    <mergeCell ref="X25:Y25"/>
    <mergeCell ref="T25:U25"/>
    <mergeCell ref="V26:W26"/>
    <mergeCell ref="V15:W15"/>
    <mergeCell ref="T22:U22"/>
    <mergeCell ref="V17:W17"/>
    <mergeCell ref="V18:W18"/>
    <mergeCell ref="V20:W20"/>
    <mergeCell ref="V21:W21"/>
    <mergeCell ref="T16:U16"/>
    <mergeCell ref="T17:U17"/>
    <mergeCell ref="T20:U20"/>
    <mergeCell ref="X36:Y36"/>
    <mergeCell ref="T36:U36"/>
    <mergeCell ref="R36:S36"/>
    <mergeCell ref="X35:Y35"/>
    <mergeCell ref="X34:Y34"/>
    <mergeCell ref="T34:U34"/>
    <mergeCell ref="R34:S34"/>
    <mergeCell ref="X27:Y27"/>
    <mergeCell ref="T27:U27"/>
    <mergeCell ref="T28:U28"/>
    <mergeCell ref="T29:U29"/>
    <mergeCell ref="R27:S27"/>
    <mergeCell ref="R28:S28"/>
    <mergeCell ref="R29:S29"/>
    <mergeCell ref="R35:S35"/>
    <mergeCell ref="R30:S30"/>
    <mergeCell ref="R31:S31"/>
    <mergeCell ref="T30:U30"/>
    <mergeCell ref="T35:U35"/>
    <mergeCell ref="X30:Y30"/>
    <mergeCell ref="X31:Y31"/>
    <mergeCell ref="X29:Y29"/>
    <mergeCell ref="X28:Y28"/>
    <mergeCell ref="T31:U31"/>
    <mergeCell ref="D42:E42"/>
    <mergeCell ref="L41:M41"/>
    <mergeCell ref="J42:K42"/>
    <mergeCell ref="F38:G38"/>
    <mergeCell ref="F39:G39"/>
    <mergeCell ref="H38:I38"/>
    <mergeCell ref="H39:I39"/>
    <mergeCell ref="D40:E40"/>
    <mergeCell ref="X43:Y43"/>
    <mergeCell ref="T43:U43"/>
    <mergeCell ref="N42:O42"/>
    <mergeCell ref="P41:Q41"/>
    <mergeCell ref="P42:Q42"/>
    <mergeCell ref="R41:S41"/>
    <mergeCell ref="R42:S42"/>
    <mergeCell ref="R43:S43"/>
    <mergeCell ref="P43:Q43"/>
    <mergeCell ref="T41:U41"/>
    <mergeCell ref="T42:U42"/>
    <mergeCell ref="X41:Y41"/>
    <mergeCell ref="X42:Y42"/>
    <mergeCell ref="V43:W43"/>
    <mergeCell ref="V42:W42"/>
    <mergeCell ref="V41:W41"/>
    <mergeCell ref="J40:K40"/>
    <mergeCell ref="F40:G40"/>
    <mergeCell ref="F41:G41"/>
    <mergeCell ref="H41:I41"/>
    <mergeCell ref="L40:M40"/>
    <mergeCell ref="J39:K39"/>
    <mergeCell ref="J41:K41"/>
    <mergeCell ref="B38:C38"/>
    <mergeCell ref="B39:C39"/>
    <mergeCell ref="B41:C41"/>
    <mergeCell ref="X37:Y37"/>
    <mergeCell ref="P37:Q37"/>
    <mergeCell ref="P38:Q38"/>
    <mergeCell ref="P39:Q39"/>
    <mergeCell ref="P40:Q40"/>
    <mergeCell ref="R40:S40"/>
    <mergeCell ref="R39:S39"/>
    <mergeCell ref="R38:S38"/>
    <mergeCell ref="R37:S37"/>
    <mergeCell ref="T37:U37"/>
    <mergeCell ref="T38:U38"/>
    <mergeCell ref="T39:U39"/>
    <mergeCell ref="T40:U40"/>
    <mergeCell ref="X40:Y40"/>
    <mergeCell ref="X39:Y39"/>
    <mergeCell ref="X38:Y38"/>
    <mergeCell ref="V38:W38"/>
    <mergeCell ref="V39:W39"/>
    <mergeCell ref="H43:I43"/>
    <mergeCell ref="F43:G43"/>
    <mergeCell ref="D16:E16"/>
    <mergeCell ref="F16:G16"/>
    <mergeCell ref="H16:I16"/>
    <mergeCell ref="C47:E47"/>
    <mergeCell ref="N16:O16"/>
    <mergeCell ref="P16:Q16"/>
    <mergeCell ref="N37:O37"/>
    <mergeCell ref="N38:O38"/>
    <mergeCell ref="N39:O39"/>
    <mergeCell ref="N40:O40"/>
    <mergeCell ref="N41:O41"/>
    <mergeCell ref="N43:O43"/>
    <mergeCell ref="L43:M43"/>
    <mergeCell ref="H42:I42"/>
    <mergeCell ref="F42:G42"/>
    <mergeCell ref="L37:M37"/>
    <mergeCell ref="L38:M38"/>
    <mergeCell ref="L39:M39"/>
    <mergeCell ref="L42:M42"/>
    <mergeCell ref="J38:K38"/>
    <mergeCell ref="H40:I40"/>
    <mergeCell ref="B42:C42"/>
  </mergeCells>
  <phoneticPr fontId="2" type="noConversion"/>
  <conditionalFormatting sqref="B31 D31 F31 H31 J31 L31 N31 P31 R31 T31 V31 X31 B42 D42 F42 H42 J42 L42 N42 P42 R42 T42 X42">
    <cfRule type="cellIs" dxfId="8" priority="4" stopIfTrue="1" operator="lessThan">
      <formula>0</formula>
    </cfRule>
  </conditionalFormatting>
  <conditionalFormatting sqref="V42:W42">
    <cfRule type="cellIs" dxfId="7" priority="1" operator="lessThan">
      <formula>0</formula>
    </cfRule>
    <cfRule type="cellIs" dxfId="6" priority="2" operator="lessThan">
      <formula>0</formula>
    </cfRule>
    <cfRule type="colorScale" priority="3">
      <colorScale>
        <cfvo type="formula" val="&quot;&lt;0&quot;"/>
        <cfvo type="formula" val="&quot;&gt;0&quot;"/>
        <color rgb="FFFF0000"/>
        <color theme="1"/>
      </colorScale>
    </cfRule>
  </conditionalFormatting>
  <printOptions horizontalCentered="1" verticalCentered="1"/>
  <pageMargins left="0.5" right="0.5" top="0.5" bottom="0.5" header="0.25" footer="0.25"/>
  <pageSetup scale="10" orientation="landscape"/>
  <headerFooter>
    <oddFooter>&amp;L&amp;G</oddFooter>
  </headerFooter>
  <ignoredErrors>
    <ignoredError sqref="D9 N9 D44:D45 N44:N45" formula="1"/>
    <ignoredError sqref="N32 D32" formula="1" unlockedFormula="1"/>
    <ignoredError sqref="L8 D34 X12 D12 N34 H17:H18 X17:X18 X21 D27 F17:F18 D30:D31 N30:N31 P21 F12 H12 J12 L21 N21 P8 P17:P18 P12 R8 R17:R18 R12 T8 T21 T17:T18 T12 Y35 C35" unlockedFormula="1"/>
  </ignoredErrors>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
  <sheetViews>
    <sheetView workbookViewId="0">
      <selection activeCell="C15" sqref="C15"/>
    </sheetView>
  </sheetViews>
  <sheetFormatPr baseColWidth="10" defaultColWidth="8.83203125" defaultRowHeight="13" x14ac:dyDescent="0.15"/>
  <cols>
    <col min="1" max="1" width="11.6640625" bestFit="1" customWidth="1"/>
    <col min="2" max="4" width="7.6640625" style="2" bestFit="1" customWidth="1"/>
    <col min="5" max="5" width="8.6640625" style="2" bestFit="1" customWidth="1"/>
    <col min="6" max="6" width="2.5" customWidth="1"/>
    <col min="7" max="9" width="7.6640625" bestFit="1" customWidth="1"/>
    <col min="10" max="10" width="8.33203125" bestFit="1" customWidth="1"/>
    <col min="11" max="11" width="1.6640625" customWidth="1"/>
    <col min="12" max="14" width="7.6640625" bestFit="1" customWidth="1"/>
    <col min="15" max="15" width="8.33203125" bestFit="1" customWidth="1"/>
    <col min="16" max="16" width="1.83203125" customWidth="1"/>
    <col min="17" max="19" width="7.6640625" bestFit="1" customWidth="1"/>
    <col min="20" max="20" width="8.33203125" bestFit="1" customWidth="1"/>
  </cols>
  <sheetData>
    <row r="1" spans="1:20" x14ac:dyDescent="0.15">
      <c r="A1" s="382" t="s">
        <v>85</v>
      </c>
      <c r="B1" s="382"/>
      <c r="C1" s="382"/>
      <c r="D1" s="382"/>
      <c r="E1" s="382"/>
      <c r="F1" s="382"/>
      <c r="G1" s="382"/>
      <c r="H1" s="382"/>
      <c r="I1" s="382"/>
      <c r="J1" s="382"/>
      <c r="K1" s="382"/>
      <c r="L1" s="382"/>
      <c r="M1" s="382"/>
      <c r="N1" s="382"/>
      <c r="O1" s="382"/>
      <c r="P1" s="382"/>
      <c r="Q1" s="382"/>
      <c r="R1" s="382"/>
      <c r="S1" s="382"/>
      <c r="T1" s="382"/>
    </row>
    <row r="2" spans="1:20" x14ac:dyDescent="0.15">
      <c r="B2" s="2" t="s">
        <v>2</v>
      </c>
      <c r="C2" s="2" t="s">
        <v>68</v>
      </c>
      <c r="D2" s="2" t="s">
        <v>4</v>
      </c>
      <c r="E2" s="2" t="s">
        <v>69</v>
      </c>
    </row>
    <row r="3" spans="1:20" x14ac:dyDescent="0.15">
      <c r="A3" s="1" t="s">
        <v>70</v>
      </c>
      <c r="B3" s="3">
        <f>Conventional!$B$30</f>
        <v>653.02682613636364</v>
      </c>
      <c r="C3" s="3">
        <f>Conventional!$D$30</f>
        <v>740.46193750000009</v>
      </c>
      <c r="D3" s="3">
        <f>Conventional!$F$30</f>
        <v>777.23124999999993</v>
      </c>
      <c r="E3" s="3">
        <f>Conventional!$H$30</f>
        <v>359.43349999999998</v>
      </c>
    </row>
    <row r="4" spans="1:20" x14ac:dyDescent="0.15">
      <c r="A4" s="1" t="s">
        <v>71</v>
      </c>
      <c r="B4" s="4">
        <f>Conventional!$B$7</f>
        <v>1200</v>
      </c>
      <c r="C4" s="4">
        <f>Conventional!$D$7</f>
        <v>4700</v>
      </c>
      <c r="D4" s="4">
        <f>Conventional!$F$7</f>
        <v>200</v>
      </c>
      <c r="E4" s="4">
        <f>Conventional!$H$7</f>
        <v>60</v>
      </c>
    </row>
    <row r="5" spans="1:20" s="5" customFormat="1" x14ac:dyDescent="0.15">
      <c r="B5" s="383" t="s">
        <v>74</v>
      </c>
      <c r="C5" s="383"/>
      <c r="D5" s="383"/>
      <c r="E5" s="383"/>
      <c r="G5" s="384" t="s">
        <v>75</v>
      </c>
      <c r="H5" s="384"/>
      <c r="I5" s="384"/>
      <c r="J5" s="384"/>
      <c r="L5" s="385" t="s">
        <v>76</v>
      </c>
      <c r="M5" s="385"/>
      <c r="N5" s="385"/>
      <c r="O5" s="385"/>
      <c r="Q5" s="386" t="s">
        <v>77</v>
      </c>
      <c r="R5" s="386"/>
      <c r="S5" s="386"/>
      <c r="T5" s="386"/>
    </row>
    <row r="6" spans="1:20" s="7" customFormat="1" ht="28" x14ac:dyDescent="0.15">
      <c r="A6" s="6"/>
      <c r="B6" s="23" t="s">
        <v>50</v>
      </c>
      <c r="C6" s="31" t="s">
        <v>78</v>
      </c>
      <c r="D6" s="31" t="s">
        <v>47</v>
      </c>
      <c r="E6" s="31" t="s">
        <v>79</v>
      </c>
      <c r="F6" s="27"/>
      <c r="G6" s="30" t="s">
        <v>50</v>
      </c>
      <c r="H6" s="24" t="s">
        <v>78</v>
      </c>
      <c r="I6" s="30" t="s">
        <v>47</v>
      </c>
      <c r="J6" s="30" t="s">
        <v>79</v>
      </c>
      <c r="K6" s="27"/>
      <c r="L6" s="29" t="s">
        <v>50</v>
      </c>
      <c r="M6" s="29" t="s">
        <v>78</v>
      </c>
      <c r="N6" s="25" t="s">
        <v>47</v>
      </c>
      <c r="O6" s="29" t="s">
        <v>79</v>
      </c>
      <c r="P6" s="27"/>
      <c r="Q6" s="28" t="s">
        <v>50</v>
      </c>
      <c r="R6" s="28" t="s">
        <v>78</v>
      </c>
      <c r="S6" s="26" t="s">
        <v>47</v>
      </c>
      <c r="T6" s="28" t="s">
        <v>79</v>
      </c>
    </row>
    <row r="7" spans="1:20" x14ac:dyDescent="0.15">
      <c r="B7" s="16">
        <f t="shared" ref="B7:B12" si="0">B8-0.025</f>
        <v>0.49999999999999989</v>
      </c>
      <c r="C7" s="17">
        <f t="shared" ref="C7:C21" si="1">(((B7*$B$4)-$B$3+$C$3)/$C$4)*2000</f>
        <v>292.52557930367504</v>
      </c>
      <c r="D7" s="16">
        <f t="shared" ref="D7:D21" si="2">(((B7*$B$4)-$B$3+$D$3)/$D$4)</f>
        <v>3.6210221193181811</v>
      </c>
      <c r="E7" s="16">
        <f>(((B7*$B$4)-$B$3+$E$3)/$E$4)</f>
        <v>5.1067778977272704</v>
      </c>
      <c r="G7" s="18">
        <f>(((H7*$C$4/2000)-$C$3+$B$3)/$B$4)</f>
        <v>0.57338740719696968</v>
      </c>
      <c r="H7" s="19">
        <f t="shared" ref="H7:H12" si="3">H8-10</f>
        <v>330</v>
      </c>
      <c r="I7" s="18">
        <f>(((H7*$C$4/2000)-$C$3+$D$3)/$D$4)</f>
        <v>4.0613465624999989</v>
      </c>
      <c r="J7" s="18">
        <f>(((H7*$C$4/2000)-$C$3+$E$3)/$E$4)</f>
        <v>6.5745260416666644</v>
      </c>
      <c r="L7" s="12">
        <f>(((N7*$D$4)-$D$3+$B$3)/$B$4)</f>
        <v>0.52149631344696945</v>
      </c>
      <c r="M7" s="13">
        <f>(((N7*$D$4)-$D$3+$C$3)/$C$4)*2000</f>
        <v>303.50242021276586</v>
      </c>
      <c r="N7" s="12">
        <f t="shared" ref="N7:N12" si="4">N8-0.15</f>
        <v>3.7499999999999982</v>
      </c>
      <c r="O7" s="12">
        <f>(((N7*$D$4)-$D$3+$E$3)/$E$4)</f>
        <v>5.5367041666666621</v>
      </c>
      <c r="Q7" s="8">
        <f>(((T7*$E$4)-$E$3+$B$3)/$B$4)</f>
        <v>0.59716110511363663</v>
      </c>
      <c r="R7" s="9">
        <f>(((T7*$E$4)-$E$3+$C$3)/$C$4)*2000</f>
        <v>342.13976063829801</v>
      </c>
      <c r="S7" s="8">
        <f>(((T7*$E$4)-$E$3+$D$3)/$D$4)</f>
        <v>4.2039887500000006</v>
      </c>
      <c r="T7" s="8">
        <f t="shared" ref="T7:T12" si="5">T8-0.35</f>
        <v>7.0500000000000025</v>
      </c>
    </row>
    <row r="8" spans="1:20" x14ac:dyDescent="0.15">
      <c r="B8" s="16">
        <f t="shared" si="0"/>
        <v>0.52499999999999991</v>
      </c>
      <c r="C8" s="17">
        <f t="shared" si="1"/>
        <v>305.29153675048354</v>
      </c>
      <c r="D8" s="16">
        <f t="shared" si="2"/>
        <v>3.771022119318181</v>
      </c>
      <c r="E8" s="16">
        <f>(((B8*$B$4)-$B$3+$E$3)/$E$4)</f>
        <v>5.6067778977272704</v>
      </c>
      <c r="G8" s="18">
        <f t="shared" ref="G8:G21" si="6">(((H8*$C$4/2000)-$C$3+$B$3)/$B$4)</f>
        <v>0.59297074053030296</v>
      </c>
      <c r="H8" s="19">
        <f t="shared" si="3"/>
        <v>340</v>
      </c>
      <c r="I8" s="18">
        <f t="shared" ref="I8:I21" si="7">(((H8*$C$4/2000)-$C$3+$D$3)/$D$4)</f>
        <v>4.1788465624999995</v>
      </c>
      <c r="J8" s="18">
        <f t="shared" ref="J8:J21" si="8">(((H8*$C$4/2000)-$C$3+$E$3)/$E$4)</f>
        <v>6.9661927083333319</v>
      </c>
      <c r="L8" s="12">
        <f t="shared" ref="L8:L21" si="9">(((N8*$D$4)-$D$3+$B$3)/$B$4)</f>
        <v>0.54649631344696947</v>
      </c>
      <c r="M8" s="13">
        <f t="shared" ref="M8:M21" si="10">(((N8*$D$4)-$D$3+$C$3)/$C$4)*2000</f>
        <v>316.26837765957441</v>
      </c>
      <c r="N8" s="12">
        <f t="shared" si="4"/>
        <v>3.8999999999999981</v>
      </c>
      <c r="O8" s="12">
        <f t="shared" ref="O8:O21" si="11">(((N8*$D$4)-$D$3+$E$3)/$E$4)</f>
        <v>6.0367041666666621</v>
      </c>
      <c r="Q8" s="8">
        <f t="shared" ref="Q8:Q21" si="12">(((T8*$E$4)-$E$3+$B$3)/$B$4)</f>
        <v>0.61466110511363647</v>
      </c>
      <c r="R8" s="9">
        <f t="shared" ref="R8:R21" si="13">(((T8*$E$4)-$E$3+$C$3)/$C$4)*2000</f>
        <v>351.0759308510639</v>
      </c>
      <c r="S8" s="8">
        <f t="shared" ref="S8:S21" si="14">(((T8*$E$4)-$E$3+$D$3)/$D$4)</f>
        <v>4.3089887500000001</v>
      </c>
      <c r="T8" s="8">
        <f t="shared" si="5"/>
        <v>7.4000000000000021</v>
      </c>
    </row>
    <row r="9" spans="1:20" x14ac:dyDescent="0.15">
      <c r="B9" s="16">
        <f t="shared" si="0"/>
        <v>0.54999999999999993</v>
      </c>
      <c r="C9" s="17">
        <f t="shared" si="1"/>
        <v>318.05749419729204</v>
      </c>
      <c r="D9" s="16">
        <f t="shared" si="2"/>
        <v>3.9210221193181809</v>
      </c>
      <c r="E9" s="16">
        <f t="shared" ref="E9:E21" si="15">(((B9*$B$4)-$B$3+$E$3)/$E$4)</f>
        <v>6.1067778977272704</v>
      </c>
      <c r="G9" s="18">
        <f t="shared" si="6"/>
        <v>0.61255407386363625</v>
      </c>
      <c r="H9" s="19">
        <f t="shared" si="3"/>
        <v>350</v>
      </c>
      <c r="I9" s="18">
        <f t="shared" si="7"/>
        <v>4.2963465624999992</v>
      </c>
      <c r="J9" s="18">
        <f t="shared" si="8"/>
        <v>7.3578593749999985</v>
      </c>
      <c r="L9" s="12">
        <f t="shared" si="9"/>
        <v>0.57149631344696949</v>
      </c>
      <c r="M9" s="13">
        <f t="shared" si="10"/>
        <v>329.03433510638291</v>
      </c>
      <c r="N9" s="12">
        <f t="shared" si="4"/>
        <v>4.049999999999998</v>
      </c>
      <c r="O9" s="12">
        <f t="shared" si="11"/>
        <v>6.5367041666666621</v>
      </c>
      <c r="Q9" s="8">
        <f t="shared" si="12"/>
        <v>0.63216110511363643</v>
      </c>
      <c r="R9" s="9">
        <f t="shared" si="13"/>
        <v>360.01210106382985</v>
      </c>
      <c r="S9" s="8">
        <f t="shared" si="14"/>
        <v>4.4139887500000006</v>
      </c>
      <c r="T9" s="8">
        <f t="shared" si="5"/>
        <v>7.7500000000000018</v>
      </c>
    </row>
    <row r="10" spans="1:20" x14ac:dyDescent="0.15">
      <c r="B10" s="16">
        <f t="shared" si="0"/>
        <v>0.57499999999999996</v>
      </c>
      <c r="C10" s="17">
        <f t="shared" si="1"/>
        <v>330.8234516441006</v>
      </c>
      <c r="D10" s="16">
        <f t="shared" si="2"/>
        <v>4.0710221193181813</v>
      </c>
      <c r="E10" s="16">
        <f t="shared" si="15"/>
        <v>6.6067778977272722</v>
      </c>
      <c r="G10" s="18">
        <f t="shared" si="6"/>
        <v>0.63213740719696965</v>
      </c>
      <c r="H10" s="19">
        <f t="shared" si="3"/>
        <v>360</v>
      </c>
      <c r="I10" s="18">
        <f t="shared" si="7"/>
        <v>4.413846562499999</v>
      </c>
      <c r="J10" s="18">
        <f t="shared" si="8"/>
        <v>7.7495260416666651</v>
      </c>
      <c r="L10" s="12">
        <f t="shared" si="9"/>
        <v>0.59649631344696952</v>
      </c>
      <c r="M10" s="13">
        <f t="shared" si="10"/>
        <v>341.80029255319141</v>
      </c>
      <c r="N10" s="12">
        <f t="shared" si="4"/>
        <v>4.1999999999999984</v>
      </c>
      <c r="O10" s="12">
        <f t="shared" si="11"/>
        <v>7.0367041666666621</v>
      </c>
      <c r="Q10" s="8">
        <f t="shared" si="12"/>
        <v>0.64966110511363651</v>
      </c>
      <c r="R10" s="9">
        <f t="shared" si="13"/>
        <v>368.94827127659585</v>
      </c>
      <c r="S10" s="8">
        <f t="shared" si="14"/>
        <v>4.5189887500000001</v>
      </c>
      <c r="T10" s="8">
        <f t="shared" si="5"/>
        <v>8.1000000000000014</v>
      </c>
    </row>
    <row r="11" spans="1:20" x14ac:dyDescent="0.15">
      <c r="B11" s="16">
        <f t="shared" si="0"/>
        <v>0.6</v>
      </c>
      <c r="C11" s="17">
        <f t="shared" si="1"/>
        <v>343.5894090909091</v>
      </c>
      <c r="D11" s="16">
        <f t="shared" si="2"/>
        <v>4.2210221193181816</v>
      </c>
      <c r="E11" s="16">
        <f t="shared" si="15"/>
        <v>7.1067778977272722</v>
      </c>
      <c r="G11" s="18">
        <f t="shared" si="6"/>
        <v>0.65172074053030293</v>
      </c>
      <c r="H11" s="19">
        <f t="shared" si="3"/>
        <v>370</v>
      </c>
      <c r="I11" s="18">
        <f t="shared" si="7"/>
        <v>4.5313465624999996</v>
      </c>
      <c r="J11" s="18">
        <f t="shared" si="8"/>
        <v>8.1411927083333318</v>
      </c>
      <c r="L11" s="12">
        <f t="shared" si="9"/>
        <v>0.62149631344696954</v>
      </c>
      <c r="M11" s="13">
        <f t="shared" si="10"/>
        <v>354.56624999999997</v>
      </c>
      <c r="N11" s="12">
        <f t="shared" si="4"/>
        <v>4.3499999999999988</v>
      </c>
      <c r="O11" s="12">
        <f t="shared" si="11"/>
        <v>7.5367041666666639</v>
      </c>
      <c r="Q11" s="8">
        <f t="shared" si="12"/>
        <v>0.66716110511363635</v>
      </c>
      <c r="R11" s="9">
        <f t="shared" si="13"/>
        <v>377.88444148936173</v>
      </c>
      <c r="S11" s="8">
        <f t="shared" si="14"/>
        <v>4.6239887499999996</v>
      </c>
      <c r="T11" s="8">
        <f t="shared" si="5"/>
        <v>8.4500000000000011</v>
      </c>
    </row>
    <row r="12" spans="1:20" x14ac:dyDescent="0.15">
      <c r="B12" s="16">
        <f t="shared" si="0"/>
        <v>0.625</v>
      </c>
      <c r="C12" s="17">
        <f t="shared" si="1"/>
        <v>356.35536653771766</v>
      </c>
      <c r="D12" s="16">
        <f t="shared" si="2"/>
        <v>4.3710221193181811</v>
      </c>
      <c r="E12" s="16">
        <f t="shared" si="15"/>
        <v>7.6067778977272722</v>
      </c>
      <c r="G12" s="18">
        <f t="shared" si="6"/>
        <v>0.67130407386363633</v>
      </c>
      <c r="H12" s="19">
        <f t="shared" si="3"/>
        <v>380</v>
      </c>
      <c r="I12" s="18">
        <f t="shared" si="7"/>
        <v>4.6488465624999993</v>
      </c>
      <c r="J12" s="18">
        <f t="shared" si="8"/>
        <v>8.5328593749999975</v>
      </c>
      <c r="L12" s="12">
        <f t="shared" si="9"/>
        <v>0.64649631344696956</v>
      </c>
      <c r="M12" s="13">
        <f t="shared" si="10"/>
        <v>367.33220744680852</v>
      </c>
      <c r="N12" s="12">
        <f t="shared" si="4"/>
        <v>4.4999999999999991</v>
      </c>
      <c r="O12" s="12">
        <f t="shared" si="11"/>
        <v>8.036704166666663</v>
      </c>
      <c r="Q12" s="8">
        <f t="shared" si="12"/>
        <v>0.68466110511363643</v>
      </c>
      <c r="R12" s="9">
        <f t="shared" si="13"/>
        <v>386.82061170212774</v>
      </c>
      <c r="S12" s="8">
        <f t="shared" si="14"/>
        <v>4.7289887500000001</v>
      </c>
      <c r="T12" s="8">
        <f t="shared" si="5"/>
        <v>8.8000000000000007</v>
      </c>
    </row>
    <row r="13" spans="1:20" ht="14" thickBot="1" x14ac:dyDescent="0.2">
      <c r="B13" s="16">
        <f>B14-0.025</f>
        <v>0.65</v>
      </c>
      <c r="C13" s="17">
        <f t="shared" si="1"/>
        <v>369.12132398452616</v>
      </c>
      <c r="D13" s="16">
        <f t="shared" si="2"/>
        <v>4.5210221193181814</v>
      </c>
      <c r="E13" s="16">
        <f t="shared" si="15"/>
        <v>8.1067778977272731</v>
      </c>
      <c r="G13" s="18">
        <f t="shared" si="6"/>
        <v>0.69088740719696962</v>
      </c>
      <c r="H13" s="19">
        <f>H14-10</f>
        <v>390</v>
      </c>
      <c r="I13" s="18">
        <f t="shared" si="7"/>
        <v>4.766346562499999</v>
      </c>
      <c r="J13" s="18">
        <f t="shared" si="8"/>
        <v>8.924526041666665</v>
      </c>
      <c r="L13" s="12">
        <f t="shared" si="9"/>
        <v>0.67149631344696969</v>
      </c>
      <c r="M13" s="13">
        <f t="shared" si="10"/>
        <v>380.09816489361702</v>
      </c>
      <c r="N13" s="12">
        <f>N14-0.15</f>
        <v>4.6499999999999995</v>
      </c>
      <c r="O13" s="12">
        <f t="shared" si="11"/>
        <v>8.5367041666666648</v>
      </c>
      <c r="Q13" s="8">
        <f t="shared" si="12"/>
        <v>0.70216110511363639</v>
      </c>
      <c r="R13" s="9">
        <f t="shared" si="13"/>
        <v>395.75678191489368</v>
      </c>
      <c r="S13" s="8">
        <f t="shared" si="14"/>
        <v>4.8339887499999996</v>
      </c>
      <c r="T13" s="8">
        <f>T14-0.35</f>
        <v>9.15</v>
      </c>
    </row>
    <row r="14" spans="1:20" ht="14" thickBot="1" x14ac:dyDescent="0.2">
      <c r="B14" s="22">
        <f>Conventional!$B$8</f>
        <v>0.67500000000000004</v>
      </c>
      <c r="C14" s="17">
        <f>(((B14*$B$4)-$B$3+$C$3)/$C$4)*2000</f>
        <v>381.88728143133466</v>
      </c>
      <c r="D14" s="16">
        <f t="shared" si="2"/>
        <v>4.6710221193181818</v>
      </c>
      <c r="E14" s="16">
        <f t="shared" si="15"/>
        <v>8.6067778977272731</v>
      </c>
      <c r="G14" s="18">
        <f t="shared" si="6"/>
        <v>0.7104707405303029</v>
      </c>
      <c r="H14" s="20">
        <f>Conventional!$D$8</f>
        <v>400</v>
      </c>
      <c r="I14" s="18">
        <f t="shared" si="7"/>
        <v>4.8838465624999996</v>
      </c>
      <c r="J14" s="18">
        <f t="shared" si="8"/>
        <v>9.3161927083333307</v>
      </c>
      <c r="L14" s="12">
        <f t="shared" si="9"/>
        <v>0.69649631344696972</v>
      </c>
      <c r="M14" s="13">
        <f t="shared" si="10"/>
        <v>392.86412234042564</v>
      </c>
      <c r="N14" s="14">
        <f>Conventional!$F$8</f>
        <v>4.8</v>
      </c>
      <c r="O14" s="12">
        <f t="shared" si="11"/>
        <v>9.0367041666666683</v>
      </c>
      <c r="Q14" s="8">
        <f t="shared" si="12"/>
        <v>0.71966110511363635</v>
      </c>
      <c r="R14" s="9">
        <f t="shared" si="13"/>
        <v>404.69295212765962</v>
      </c>
      <c r="S14" s="8">
        <f t="shared" si="14"/>
        <v>4.93898875</v>
      </c>
      <c r="T14" s="10">
        <f>Conventional!$H$8</f>
        <v>9.5</v>
      </c>
    </row>
    <row r="15" spans="1:20" x14ac:dyDescent="0.15">
      <c r="B15" s="16">
        <f>B14+0.025</f>
        <v>0.70000000000000007</v>
      </c>
      <c r="C15" s="17">
        <f t="shared" si="1"/>
        <v>394.65323887814327</v>
      </c>
      <c r="D15" s="16">
        <f t="shared" si="2"/>
        <v>4.8210221193181821</v>
      </c>
      <c r="E15" s="16">
        <f t="shared" si="15"/>
        <v>9.1067778977272749</v>
      </c>
      <c r="G15" s="18">
        <f t="shared" si="6"/>
        <v>0.7300540738636363</v>
      </c>
      <c r="H15" s="19">
        <f>H14+10</f>
        <v>410</v>
      </c>
      <c r="I15" s="18">
        <f t="shared" si="7"/>
        <v>5.0013465624999993</v>
      </c>
      <c r="J15" s="18">
        <f t="shared" si="8"/>
        <v>9.7078593749999982</v>
      </c>
      <c r="L15" s="12">
        <f t="shared" si="9"/>
        <v>0.72149631344696974</v>
      </c>
      <c r="M15" s="13">
        <f t="shared" si="10"/>
        <v>405.63007978723408</v>
      </c>
      <c r="N15" s="12">
        <f>N14+0.15</f>
        <v>4.95</v>
      </c>
      <c r="O15" s="12">
        <f t="shared" si="11"/>
        <v>9.5367041666666683</v>
      </c>
      <c r="Q15" s="8">
        <f t="shared" si="12"/>
        <v>0.73716110511363642</v>
      </c>
      <c r="R15" s="9">
        <f t="shared" si="13"/>
        <v>413.62912234042557</v>
      </c>
      <c r="S15" s="8">
        <f t="shared" si="14"/>
        <v>5.0439887499999996</v>
      </c>
      <c r="T15" s="8">
        <f>T14+0.35</f>
        <v>9.85</v>
      </c>
    </row>
    <row r="16" spans="1:20" x14ac:dyDescent="0.15">
      <c r="B16" s="16">
        <f t="shared" ref="B16:B21" si="16">B15+0.025</f>
        <v>0.72500000000000009</v>
      </c>
      <c r="C16" s="17">
        <f t="shared" si="1"/>
        <v>407.41919632495171</v>
      </c>
      <c r="D16" s="16">
        <f t="shared" si="2"/>
        <v>4.9710221193181816</v>
      </c>
      <c r="E16" s="16">
        <f t="shared" si="15"/>
        <v>9.6067778977272749</v>
      </c>
      <c r="G16" s="18">
        <f t="shared" si="6"/>
        <v>0.74963740719696959</v>
      </c>
      <c r="H16" s="19">
        <f t="shared" ref="H16:H21" si="17">H15+10</f>
        <v>420</v>
      </c>
      <c r="I16" s="18">
        <f t="shared" si="7"/>
        <v>5.118846562499999</v>
      </c>
      <c r="J16" s="18">
        <f t="shared" si="8"/>
        <v>10.099526041666666</v>
      </c>
      <c r="L16" s="12">
        <f t="shared" si="9"/>
        <v>0.74649631344696987</v>
      </c>
      <c r="M16" s="13">
        <f t="shared" si="10"/>
        <v>418.39603723404269</v>
      </c>
      <c r="N16" s="12">
        <f t="shared" ref="N16:N21" si="18">N15+0.15</f>
        <v>5.1000000000000005</v>
      </c>
      <c r="O16" s="12">
        <f t="shared" si="11"/>
        <v>10.03670416666667</v>
      </c>
      <c r="Q16" s="8">
        <f t="shared" si="12"/>
        <v>0.75466110511363638</v>
      </c>
      <c r="R16" s="9">
        <f t="shared" si="13"/>
        <v>422.56529255319151</v>
      </c>
      <c r="S16" s="8">
        <f t="shared" si="14"/>
        <v>5.14898875</v>
      </c>
      <c r="T16" s="8">
        <f t="shared" ref="T16:T21" si="19">T15+0.35</f>
        <v>10.199999999999999</v>
      </c>
    </row>
    <row r="17" spans="1:20" x14ac:dyDescent="0.15">
      <c r="B17" s="16">
        <f t="shared" si="16"/>
        <v>0.75000000000000011</v>
      </c>
      <c r="C17" s="17">
        <f t="shared" si="1"/>
        <v>420.18515377176027</v>
      </c>
      <c r="D17" s="16">
        <f t="shared" si="2"/>
        <v>5.1210221193181811</v>
      </c>
      <c r="E17" s="16">
        <f t="shared" si="15"/>
        <v>10.106777897727275</v>
      </c>
      <c r="G17" s="18">
        <f t="shared" si="6"/>
        <v>0.76922074053030298</v>
      </c>
      <c r="H17" s="19">
        <f t="shared" si="17"/>
        <v>430</v>
      </c>
      <c r="I17" s="18">
        <f t="shared" si="7"/>
        <v>5.2363465624999996</v>
      </c>
      <c r="J17" s="18">
        <f t="shared" si="8"/>
        <v>10.491192708333331</v>
      </c>
      <c r="L17" s="12">
        <f t="shared" si="9"/>
        <v>0.77149631344696989</v>
      </c>
      <c r="M17" s="13">
        <f t="shared" si="10"/>
        <v>431.16199468085119</v>
      </c>
      <c r="N17" s="12">
        <f t="shared" si="18"/>
        <v>5.2500000000000009</v>
      </c>
      <c r="O17" s="12">
        <f t="shared" si="11"/>
        <v>10.536704166666672</v>
      </c>
      <c r="Q17" s="8">
        <f t="shared" si="12"/>
        <v>0.77216110511363634</v>
      </c>
      <c r="R17" s="9">
        <f t="shared" si="13"/>
        <v>431.50146276595746</v>
      </c>
      <c r="S17" s="8">
        <f t="shared" si="14"/>
        <v>5.2539887499999987</v>
      </c>
      <c r="T17" s="8">
        <f t="shared" si="19"/>
        <v>10.549999999999999</v>
      </c>
    </row>
    <row r="18" spans="1:20" x14ac:dyDescent="0.15">
      <c r="B18" s="16">
        <f t="shared" si="16"/>
        <v>0.77500000000000013</v>
      </c>
      <c r="C18" s="17">
        <f t="shared" si="1"/>
        <v>432.95111121856877</v>
      </c>
      <c r="D18" s="16">
        <f t="shared" si="2"/>
        <v>5.2710221193181814</v>
      </c>
      <c r="E18" s="16">
        <f t="shared" si="15"/>
        <v>10.606777897727275</v>
      </c>
      <c r="G18" s="18">
        <f t="shared" si="6"/>
        <v>0.78880407386363627</v>
      </c>
      <c r="H18" s="19">
        <f t="shared" si="17"/>
        <v>440</v>
      </c>
      <c r="I18" s="18">
        <f t="shared" si="7"/>
        <v>5.3538465624999994</v>
      </c>
      <c r="J18" s="18">
        <f t="shared" si="8"/>
        <v>10.882859374999999</v>
      </c>
      <c r="L18" s="12">
        <f t="shared" si="9"/>
        <v>0.79649631344696992</v>
      </c>
      <c r="M18" s="13">
        <f t="shared" si="10"/>
        <v>443.92795212765975</v>
      </c>
      <c r="N18" s="12">
        <f t="shared" si="18"/>
        <v>5.4000000000000012</v>
      </c>
      <c r="O18" s="12">
        <f t="shared" si="11"/>
        <v>11.036704166666672</v>
      </c>
      <c r="Q18" s="8">
        <f t="shared" si="12"/>
        <v>0.7896611051136363</v>
      </c>
      <c r="R18" s="9">
        <f t="shared" si="13"/>
        <v>440.43763297872346</v>
      </c>
      <c r="S18" s="8">
        <f t="shared" si="14"/>
        <v>5.3589887499999982</v>
      </c>
      <c r="T18" s="8">
        <f t="shared" si="19"/>
        <v>10.899999999999999</v>
      </c>
    </row>
    <row r="19" spans="1:20" x14ac:dyDescent="0.15">
      <c r="B19" s="16">
        <f t="shared" si="16"/>
        <v>0.80000000000000016</v>
      </c>
      <c r="C19" s="17">
        <f t="shared" si="1"/>
        <v>445.71706866537733</v>
      </c>
      <c r="D19" s="16">
        <f t="shared" si="2"/>
        <v>5.4210221193181827</v>
      </c>
      <c r="E19" s="16">
        <f t="shared" si="15"/>
        <v>11.106777897727277</v>
      </c>
      <c r="G19" s="18">
        <f t="shared" si="6"/>
        <v>0.80838740719696967</v>
      </c>
      <c r="H19" s="19">
        <f t="shared" si="17"/>
        <v>450</v>
      </c>
      <c r="I19" s="18">
        <f t="shared" si="7"/>
        <v>5.4713465624999991</v>
      </c>
      <c r="J19" s="18">
        <f t="shared" si="8"/>
        <v>11.274526041666665</v>
      </c>
      <c r="L19" s="12">
        <f t="shared" si="9"/>
        <v>0.82149631344696994</v>
      </c>
      <c r="M19" s="13">
        <f t="shared" si="10"/>
        <v>456.69390957446825</v>
      </c>
      <c r="N19" s="12">
        <f t="shared" si="18"/>
        <v>5.5500000000000016</v>
      </c>
      <c r="O19" s="12">
        <f t="shared" si="11"/>
        <v>11.536704166666672</v>
      </c>
      <c r="Q19" s="8">
        <f t="shared" si="12"/>
        <v>0.80716110511363626</v>
      </c>
      <c r="R19" s="9">
        <f t="shared" si="13"/>
        <v>449.3738031914894</v>
      </c>
      <c r="S19" s="8">
        <f t="shared" si="14"/>
        <v>5.4639887499999986</v>
      </c>
      <c r="T19" s="8">
        <f t="shared" si="19"/>
        <v>11.249999999999998</v>
      </c>
    </row>
    <row r="20" spans="1:20" x14ac:dyDescent="0.15">
      <c r="B20" s="16">
        <f t="shared" si="16"/>
        <v>0.82500000000000018</v>
      </c>
      <c r="C20" s="17">
        <f t="shared" si="1"/>
        <v>458.48302611218583</v>
      </c>
      <c r="D20" s="16">
        <f t="shared" si="2"/>
        <v>5.571022119318183</v>
      </c>
      <c r="E20" s="16">
        <f t="shared" si="15"/>
        <v>11.606777897727277</v>
      </c>
      <c r="G20" s="18">
        <f t="shared" si="6"/>
        <v>0.82797074053030295</v>
      </c>
      <c r="H20" s="19">
        <f t="shared" si="17"/>
        <v>460</v>
      </c>
      <c r="I20" s="18">
        <f t="shared" si="7"/>
        <v>5.5888465624999988</v>
      </c>
      <c r="J20" s="18">
        <f t="shared" si="8"/>
        <v>11.666192708333332</v>
      </c>
      <c r="L20" s="12">
        <f t="shared" si="9"/>
        <v>0.84649631344697018</v>
      </c>
      <c r="M20" s="13">
        <f t="shared" si="10"/>
        <v>469.45986702127686</v>
      </c>
      <c r="N20" s="12">
        <f t="shared" si="18"/>
        <v>5.700000000000002</v>
      </c>
      <c r="O20" s="12">
        <f t="shared" si="11"/>
        <v>12.036704166666675</v>
      </c>
      <c r="Q20" s="8">
        <f t="shared" si="12"/>
        <v>0.82466110511363633</v>
      </c>
      <c r="R20" s="9">
        <f t="shared" si="13"/>
        <v>458.3099734042554</v>
      </c>
      <c r="S20" s="8">
        <f t="shared" si="14"/>
        <v>5.568988749999999</v>
      </c>
      <c r="T20" s="8">
        <f t="shared" si="19"/>
        <v>11.599999999999998</v>
      </c>
    </row>
    <row r="21" spans="1:20" x14ac:dyDescent="0.15">
      <c r="B21" s="16">
        <f t="shared" si="16"/>
        <v>0.8500000000000002</v>
      </c>
      <c r="C21" s="17">
        <f t="shared" si="1"/>
        <v>471.24898355899433</v>
      </c>
      <c r="D21" s="16">
        <f t="shared" si="2"/>
        <v>5.7210221193181825</v>
      </c>
      <c r="E21" s="16">
        <f t="shared" si="15"/>
        <v>12.106777897727277</v>
      </c>
      <c r="G21" s="18">
        <f t="shared" si="6"/>
        <v>0.84755407386363624</v>
      </c>
      <c r="H21" s="19">
        <f t="shared" si="17"/>
        <v>470</v>
      </c>
      <c r="I21" s="18">
        <f t="shared" si="7"/>
        <v>5.7063465624999994</v>
      </c>
      <c r="J21" s="18">
        <f t="shared" si="8"/>
        <v>12.057859374999998</v>
      </c>
      <c r="L21" s="12">
        <f t="shared" si="9"/>
        <v>0.87149631344697009</v>
      </c>
      <c r="M21" s="13">
        <f t="shared" si="10"/>
        <v>482.22582446808536</v>
      </c>
      <c r="N21" s="12">
        <f t="shared" si="18"/>
        <v>5.8500000000000023</v>
      </c>
      <c r="O21" s="12">
        <f t="shared" si="11"/>
        <v>12.536704166666675</v>
      </c>
      <c r="Q21" s="8">
        <f t="shared" si="12"/>
        <v>0.84216110511363629</v>
      </c>
      <c r="R21" s="9">
        <f t="shared" si="13"/>
        <v>467.24614361702135</v>
      </c>
      <c r="S21" s="8">
        <f t="shared" si="14"/>
        <v>5.6739887499999986</v>
      </c>
      <c r="T21" s="8">
        <f t="shared" si="19"/>
        <v>11.949999999999998</v>
      </c>
    </row>
    <row r="22" spans="1:20" x14ac:dyDescent="0.15">
      <c r="B22" s="16"/>
      <c r="C22" s="17"/>
      <c r="D22" s="16"/>
      <c r="E22" s="16"/>
      <c r="G22" s="21"/>
      <c r="H22" s="21"/>
      <c r="I22" s="21"/>
      <c r="J22" s="21"/>
      <c r="L22" s="15"/>
      <c r="M22" s="15"/>
      <c r="N22" s="15"/>
      <c r="O22" s="15"/>
      <c r="Q22" s="11"/>
      <c r="R22" s="11"/>
      <c r="S22" s="11"/>
      <c r="T22" s="11"/>
    </row>
    <row r="23" spans="1:20" x14ac:dyDescent="0.15">
      <c r="B23" s="2" t="s">
        <v>2</v>
      </c>
      <c r="C23" s="2" t="s">
        <v>68</v>
      </c>
      <c r="D23" s="2" t="s">
        <v>4</v>
      </c>
      <c r="E23" s="2" t="s">
        <v>69</v>
      </c>
      <c r="G23" s="21"/>
      <c r="H23" s="21"/>
      <c r="I23" s="21"/>
      <c r="J23" s="21"/>
      <c r="L23" s="15"/>
      <c r="M23" s="15"/>
      <c r="N23" s="15"/>
      <c r="O23" s="15"/>
      <c r="Q23" s="11"/>
      <c r="R23" s="11"/>
      <c r="S23" s="11"/>
      <c r="T23" s="11"/>
    </row>
    <row r="24" spans="1:20" x14ac:dyDescent="0.15">
      <c r="A24" s="1" t="s">
        <v>72</v>
      </c>
      <c r="B24" s="49">
        <f>Conventional!$L$30</f>
        <v>513.85199289772731</v>
      </c>
      <c r="C24" s="49">
        <f>Conventional!$N$30</f>
        <v>671.73656249999999</v>
      </c>
      <c r="D24" s="49">
        <f>Conventional!$P$30</f>
        <v>399.01172093749994</v>
      </c>
      <c r="E24" s="49">
        <f>Conventional!$R$30</f>
        <v>297.64964999999995</v>
      </c>
      <c r="G24" s="21"/>
      <c r="H24" s="21"/>
      <c r="I24" s="21"/>
      <c r="J24" s="21"/>
      <c r="L24" s="15"/>
      <c r="M24" s="15"/>
      <c r="N24" s="15"/>
      <c r="O24" s="15"/>
      <c r="Q24" s="11"/>
      <c r="R24" s="11"/>
      <c r="S24" s="11"/>
      <c r="T24" s="11"/>
    </row>
    <row r="25" spans="1:20" x14ac:dyDescent="0.15">
      <c r="A25" s="1" t="s">
        <v>73</v>
      </c>
      <c r="B25" s="4">
        <f>Conventional!$L$7</f>
        <v>750</v>
      </c>
      <c r="C25" s="4">
        <f>Conventional!$N$7</f>
        <v>3400</v>
      </c>
      <c r="D25" s="4">
        <f>Conventional!$P$7</f>
        <v>85</v>
      </c>
      <c r="E25" s="4">
        <f>Conventional!$R$7</f>
        <v>30</v>
      </c>
      <c r="G25" s="21"/>
      <c r="H25" s="21"/>
      <c r="I25" s="21"/>
      <c r="J25" s="21"/>
      <c r="L25" s="15"/>
      <c r="M25" s="15"/>
      <c r="N25" s="15"/>
      <c r="O25" s="15"/>
      <c r="Q25" s="11"/>
      <c r="R25" s="11"/>
      <c r="S25" s="11"/>
      <c r="T25" s="11"/>
    </row>
    <row r="26" spans="1:20" s="5" customFormat="1" x14ac:dyDescent="0.15">
      <c r="B26" s="383" t="s">
        <v>74</v>
      </c>
      <c r="C26" s="383"/>
      <c r="D26" s="383"/>
      <c r="E26" s="383"/>
      <c r="G26" s="384" t="s">
        <v>75</v>
      </c>
      <c r="H26" s="384"/>
      <c r="I26" s="384"/>
      <c r="J26" s="384"/>
      <c r="L26" s="385" t="s">
        <v>76</v>
      </c>
      <c r="M26" s="385"/>
      <c r="N26" s="385"/>
      <c r="O26" s="385"/>
      <c r="Q26" s="386" t="s">
        <v>77</v>
      </c>
      <c r="R26" s="386"/>
      <c r="S26" s="386"/>
      <c r="T26" s="386"/>
    </row>
    <row r="27" spans="1:20" s="7" customFormat="1" ht="42" x14ac:dyDescent="0.15">
      <c r="B27" s="23" t="s">
        <v>83</v>
      </c>
      <c r="C27" s="23" t="s">
        <v>80</v>
      </c>
      <c r="D27" s="23" t="s">
        <v>81</v>
      </c>
      <c r="E27" s="23" t="s">
        <v>82</v>
      </c>
      <c r="G27" s="24" t="s">
        <v>83</v>
      </c>
      <c r="H27" s="24" t="s">
        <v>80</v>
      </c>
      <c r="I27" s="24" t="s">
        <v>81</v>
      </c>
      <c r="J27" s="24" t="s">
        <v>82</v>
      </c>
      <c r="L27" s="25" t="s">
        <v>83</v>
      </c>
      <c r="M27" s="25" t="s">
        <v>80</v>
      </c>
      <c r="N27" s="25" t="s">
        <v>81</v>
      </c>
      <c r="O27" s="25" t="s">
        <v>82</v>
      </c>
      <c r="Q27" s="26" t="s">
        <v>83</v>
      </c>
      <c r="R27" s="26" t="s">
        <v>80</v>
      </c>
      <c r="S27" s="26" t="s">
        <v>81</v>
      </c>
      <c r="T27" s="26" t="s">
        <v>82</v>
      </c>
    </row>
    <row r="28" spans="1:20" x14ac:dyDescent="0.15">
      <c r="B28" s="16">
        <f t="shared" ref="B28:B33" si="20">B29-0.025</f>
        <v>0.49999999999999989</v>
      </c>
      <c r="C28" s="17">
        <f t="shared" ref="C28:C42" si="21">(((B28*$B$25)-$B$24+$C$24)/$C$25)*2000</f>
        <v>313.46151153074862</v>
      </c>
      <c r="D28" s="16">
        <f t="shared" ref="D28:D42" si="22">(((B28*$B$25)-$B$24+$D$24)/$D$25)</f>
        <v>3.0607026828208537</v>
      </c>
      <c r="E28" s="16">
        <f t="shared" ref="E28:E42" si="23">(((B28*$B$25)-$B$24+$E$24)/$E$25)</f>
        <v>5.2932552367424197</v>
      </c>
      <c r="G28" s="18">
        <f>(((H28*$C$25/2000)-$C$24+$B$24)/$B$25)</f>
        <v>0.53748724053030306</v>
      </c>
      <c r="H28" s="19">
        <f t="shared" ref="H28:H33" si="24">H29-10</f>
        <v>330</v>
      </c>
      <c r="I28" s="18">
        <f>(((H28*$C$25/2000)-$C$24+$D$24)/$D$25)</f>
        <v>3.3914724522058819</v>
      </c>
      <c r="J28" s="18">
        <f>(((H28*$C$25/2000)-$C$24+$E$24)/$E$25)</f>
        <v>6.2304362499999986</v>
      </c>
      <c r="L28" s="12">
        <f>(((N28*$D$25)-$D$24+$B$24)/$B$25)</f>
        <v>0.57812036261363631</v>
      </c>
      <c r="M28" s="13">
        <f>(((N28*$D$25)-$D$24+$C$24)/$C$25)*2000</f>
        <v>347.92637738970581</v>
      </c>
      <c r="N28" s="12">
        <f t="shared" ref="N28:N33" si="25">N29-0.15</f>
        <v>3.7499999999999982</v>
      </c>
      <c r="O28" s="12">
        <f>(((N28*$D$25)-$D$24+$E$24)/$E$25)</f>
        <v>7.2462643020833282</v>
      </c>
      <c r="Q28" s="8">
        <f>(((T28*$E$25)-$E$24+$B$24)/$B$25)</f>
        <v>0.57026979053030336</v>
      </c>
      <c r="R28" s="9">
        <f>(((T28*$E$25)-$E$24+$C$24)/$C$25)*2000</f>
        <v>344.46288970588245</v>
      </c>
      <c r="S28" s="8">
        <f>(((T28*$E$25)-$E$24+$D$24)/$D$25)</f>
        <v>3.6807302463235305</v>
      </c>
      <c r="T28" s="8">
        <f t="shared" ref="T28:T33" si="26">T29-0.35</f>
        <v>7.0500000000000025</v>
      </c>
    </row>
    <row r="29" spans="1:20" x14ac:dyDescent="0.15">
      <c r="B29" s="16">
        <f t="shared" si="20"/>
        <v>0.52499999999999991</v>
      </c>
      <c r="C29" s="17">
        <f t="shared" si="21"/>
        <v>324.49092329545454</v>
      </c>
      <c r="D29" s="16">
        <f t="shared" si="22"/>
        <v>3.2812909181149714</v>
      </c>
      <c r="E29" s="16">
        <f t="shared" si="23"/>
        <v>5.9182552367424197</v>
      </c>
      <c r="G29" s="18">
        <f t="shared" ref="G29:G42" si="27">(((H29*$C$25/2000)-$C$24+$B$24)/$B$25)</f>
        <v>0.56015390719696978</v>
      </c>
      <c r="H29" s="19">
        <f t="shared" si="24"/>
        <v>340</v>
      </c>
      <c r="I29" s="18">
        <f t="shared" ref="I29:I42" si="28">(((H29*$C$25/2000)-$C$24+$D$24)/$D$25)</f>
        <v>3.5914724522058816</v>
      </c>
      <c r="J29" s="18">
        <f t="shared" ref="J29:J42" si="29">(((H29*$C$25/2000)-$C$24+$E$24)/$E$25)</f>
        <v>6.797102916666665</v>
      </c>
      <c r="L29" s="12">
        <f t="shared" ref="L29:L42" si="30">(((N29*$D$25)-$D$24+$B$24)/$B$25)</f>
        <v>0.59512036261363621</v>
      </c>
      <c r="M29" s="13">
        <f t="shared" ref="M29:M42" si="31">(((N29*$D$25)-$D$24+$C$24)/$C$25)*2000</f>
        <v>355.42637738970586</v>
      </c>
      <c r="N29" s="12">
        <f t="shared" si="25"/>
        <v>3.8999999999999981</v>
      </c>
      <c r="O29" s="12">
        <f t="shared" ref="O29:O42" si="32">(((N29*$D$25)-$D$24+$E$24)/$E$25)</f>
        <v>7.671264302083328</v>
      </c>
      <c r="Q29" s="8">
        <f t="shared" ref="Q29:Q42" si="33">(((T29*$E$25)-$E$24+$B$24)/$B$25)</f>
        <v>0.58426979053030326</v>
      </c>
      <c r="R29" s="9">
        <f t="shared" ref="R29:R42" si="34">(((T29*$E$25)-$E$24+$C$24)/$C$25)*2000</f>
        <v>350.63936029411775</v>
      </c>
      <c r="S29" s="8">
        <f t="shared" ref="S29:S42" si="35">(((T29*$E$25)-$E$24+$D$24)/$D$25)</f>
        <v>3.804259658088236</v>
      </c>
      <c r="T29" s="8">
        <f t="shared" si="26"/>
        <v>7.4000000000000021</v>
      </c>
    </row>
    <row r="30" spans="1:20" x14ac:dyDescent="0.15">
      <c r="B30" s="16">
        <f t="shared" si="20"/>
        <v>0.54999999999999993</v>
      </c>
      <c r="C30" s="17">
        <f t="shared" si="21"/>
        <v>335.52033506016039</v>
      </c>
      <c r="D30" s="16">
        <f t="shared" si="22"/>
        <v>3.5018791534090892</v>
      </c>
      <c r="E30" s="16">
        <f t="shared" si="23"/>
        <v>6.5432552367424197</v>
      </c>
      <c r="G30" s="18">
        <f t="shared" si="27"/>
        <v>0.58282057386363639</v>
      </c>
      <c r="H30" s="19">
        <f t="shared" si="24"/>
        <v>350</v>
      </c>
      <c r="I30" s="18">
        <f t="shared" si="28"/>
        <v>3.7914724522058818</v>
      </c>
      <c r="J30" s="18">
        <f t="shared" si="29"/>
        <v>7.3637695833333323</v>
      </c>
      <c r="L30" s="12">
        <f t="shared" si="30"/>
        <v>0.61212036261363623</v>
      </c>
      <c r="M30" s="13">
        <f t="shared" si="31"/>
        <v>362.92637738970586</v>
      </c>
      <c r="N30" s="12">
        <f t="shared" si="25"/>
        <v>4.049999999999998</v>
      </c>
      <c r="O30" s="12">
        <f t="shared" si="32"/>
        <v>8.0962643020833287</v>
      </c>
      <c r="Q30" s="8">
        <f t="shared" si="33"/>
        <v>0.59826979053030327</v>
      </c>
      <c r="R30" s="9">
        <f t="shared" si="34"/>
        <v>356.815830882353</v>
      </c>
      <c r="S30" s="8">
        <f t="shared" si="35"/>
        <v>3.9277890698529419</v>
      </c>
      <c r="T30" s="8">
        <f t="shared" si="26"/>
        <v>7.7500000000000018</v>
      </c>
    </row>
    <row r="31" spans="1:20" x14ac:dyDescent="0.15">
      <c r="B31" s="16">
        <f t="shared" si="20"/>
        <v>0.57499999999999996</v>
      </c>
      <c r="C31" s="17">
        <f t="shared" si="21"/>
        <v>346.5497468248663</v>
      </c>
      <c r="D31" s="16">
        <f t="shared" si="22"/>
        <v>3.7224673887032069</v>
      </c>
      <c r="E31" s="16">
        <f t="shared" si="23"/>
        <v>7.1682552367424197</v>
      </c>
      <c r="G31" s="18">
        <f t="shared" si="27"/>
        <v>0.60548724053030312</v>
      </c>
      <c r="H31" s="19">
        <f t="shared" si="24"/>
        <v>360</v>
      </c>
      <c r="I31" s="18">
        <f t="shared" si="28"/>
        <v>3.991472452205882</v>
      </c>
      <c r="J31" s="18">
        <f t="shared" si="29"/>
        <v>7.9304362499999987</v>
      </c>
      <c r="L31" s="12">
        <f t="shared" si="30"/>
        <v>0.62912036261363635</v>
      </c>
      <c r="M31" s="13">
        <f t="shared" si="31"/>
        <v>370.42637738970586</v>
      </c>
      <c r="N31" s="12">
        <f t="shared" si="25"/>
        <v>4.1999999999999984</v>
      </c>
      <c r="O31" s="12">
        <f t="shared" si="32"/>
        <v>8.5212643020833294</v>
      </c>
      <c r="Q31" s="8">
        <f t="shared" si="33"/>
        <v>0.61226979053030317</v>
      </c>
      <c r="R31" s="9">
        <f t="shared" si="34"/>
        <v>362.9923014705883</v>
      </c>
      <c r="S31" s="8">
        <f t="shared" si="35"/>
        <v>4.0513184816176473</v>
      </c>
      <c r="T31" s="8">
        <f t="shared" si="26"/>
        <v>8.1000000000000014</v>
      </c>
    </row>
    <row r="32" spans="1:20" x14ac:dyDescent="0.15">
      <c r="B32" s="16">
        <f t="shared" si="20"/>
        <v>0.6</v>
      </c>
      <c r="C32" s="17">
        <f t="shared" si="21"/>
        <v>357.57915858957216</v>
      </c>
      <c r="D32" s="16">
        <f t="shared" si="22"/>
        <v>3.9430556239973251</v>
      </c>
      <c r="E32" s="16">
        <f t="shared" si="23"/>
        <v>7.7932552367424215</v>
      </c>
      <c r="G32" s="18">
        <f t="shared" si="27"/>
        <v>0.62815390719696973</v>
      </c>
      <c r="H32" s="19">
        <f t="shared" si="24"/>
        <v>370</v>
      </c>
      <c r="I32" s="18">
        <f t="shared" si="28"/>
        <v>4.1914724522058817</v>
      </c>
      <c r="J32" s="18">
        <f t="shared" si="29"/>
        <v>8.4971029166666661</v>
      </c>
      <c r="L32" s="12">
        <f t="shared" si="30"/>
        <v>0.64612036261363637</v>
      </c>
      <c r="M32" s="13">
        <f t="shared" si="31"/>
        <v>377.92637738970586</v>
      </c>
      <c r="N32" s="12">
        <f t="shared" si="25"/>
        <v>4.3499999999999988</v>
      </c>
      <c r="O32" s="12">
        <f t="shared" si="32"/>
        <v>8.9462643020833301</v>
      </c>
      <c r="Q32" s="8">
        <f t="shared" si="33"/>
        <v>0.62626979053030318</v>
      </c>
      <c r="R32" s="9">
        <f t="shared" si="34"/>
        <v>369.16877205882355</v>
      </c>
      <c r="S32" s="8">
        <f t="shared" si="35"/>
        <v>4.1748478933823527</v>
      </c>
      <c r="T32" s="8">
        <f t="shared" si="26"/>
        <v>8.4500000000000011</v>
      </c>
    </row>
    <row r="33" spans="1:20" x14ac:dyDescent="0.15">
      <c r="B33" s="16">
        <f t="shared" si="20"/>
        <v>0.625</v>
      </c>
      <c r="C33" s="17">
        <f t="shared" si="21"/>
        <v>368.60857035427802</v>
      </c>
      <c r="D33" s="16">
        <f t="shared" si="22"/>
        <v>4.1636438592914429</v>
      </c>
      <c r="E33" s="16">
        <f t="shared" si="23"/>
        <v>8.4182552367424215</v>
      </c>
      <c r="G33" s="18">
        <f t="shared" si="27"/>
        <v>0.65082057386363645</v>
      </c>
      <c r="H33" s="19">
        <f t="shared" si="24"/>
        <v>380</v>
      </c>
      <c r="I33" s="18">
        <f t="shared" si="28"/>
        <v>4.3914724522058819</v>
      </c>
      <c r="J33" s="18">
        <f t="shared" si="29"/>
        <v>9.0637695833333325</v>
      </c>
      <c r="L33" s="12">
        <f t="shared" si="30"/>
        <v>0.66312036261363638</v>
      </c>
      <c r="M33" s="13">
        <f t="shared" si="31"/>
        <v>385.42637738970586</v>
      </c>
      <c r="N33" s="12">
        <f t="shared" si="25"/>
        <v>4.4999999999999991</v>
      </c>
      <c r="O33" s="12">
        <f t="shared" si="32"/>
        <v>9.3712643020833308</v>
      </c>
      <c r="Q33" s="8">
        <f t="shared" si="33"/>
        <v>0.6402697905303032</v>
      </c>
      <c r="R33" s="9">
        <f t="shared" si="34"/>
        <v>375.34524264705885</v>
      </c>
      <c r="S33" s="8">
        <f t="shared" si="35"/>
        <v>4.2983773051470591</v>
      </c>
      <c r="T33" s="8">
        <f t="shared" si="26"/>
        <v>8.8000000000000007</v>
      </c>
    </row>
    <row r="34" spans="1:20" ht="14" thickBot="1" x14ac:dyDescent="0.2">
      <c r="B34" s="16">
        <f>B35-0.025</f>
        <v>0.65</v>
      </c>
      <c r="C34" s="17">
        <f t="shared" si="21"/>
        <v>379.63798211898393</v>
      </c>
      <c r="D34" s="16">
        <f t="shared" si="22"/>
        <v>4.3842320945855606</v>
      </c>
      <c r="E34" s="16">
        <f t="shared" si="23"/>
        <v>9.0432552367424215</v>
      </c>
      <c r="G34" s="18">
        <f t="shared" si="27"/>
        <v>0.67348724053030307</v>
      </c>
      <c r="H34" s="19">
        <f>H35-10</f>
        <v>390</v>
      </c>
      <c r="I34" s="18">
        <f t="shared" si="28"/>
        <v>4.5914724522058821</v>
      </c>
      <c r="J34" s="18">
        <f t="shared" si="29"/>
        <v>9.6304362499999989</v>
      </c>
      <c r="L34" s="12">
        <f t="shared" si="30"/>
        <v>0.6801203626136364</v>
      </c>
      <c r="M34" s="13">
        <f t="shared" si="31"/>
        <v>392.92637738970581</v>
      </c>
      <c r="N34" s="12">
        <f>N35-0.15</f>
        <v>4.6499999999999995</v>
      </c>
      <c r="O34" s="12">
        <f t="shared" si="32"/>
        <v>9.7962643020833315</v>
      </c>
      <c r="Q34" s="8">
        <f t="shared" si="33"/>
        <v>0.6542697905303031</v>
      </c>
      <c r="R34" s="9">
        <f t="shared" si="34"/>
        <v>381.52171323529416</v>
      </c>
      <c r="S34" s="8">
        <f t="shared" si="35"/>
        <v>4.4219067169117645</v>
      </c>
      <c r="T34" s="8">
        <f>T35-0.35</f>
        <v>9.15</v>
      </c>
    </row>
    <row r="35" spans="1:20" ht="14" thickBot="1" x14ac:dyDescent="0.2">
      <c r="B35" s="22">
        <f>Conventional!$B$8</f>
        <v>0.67500000000000004</v>
      </c>
      <c r="C35" s="17">
        <f t="shared" si="21"/>
        <v>390.66739388368984</v>
      </c>
      <c r="D35" s="16">
        <f t="shared" si="22"/>
        <v>4.6048203298796784</v>
      </c>
      <c r="E35" s="16">
        <f t="shared" si="23"/>
        <v>9.6682552367424233</v>
      </c>
      <c r="G35" s="18">
        <f t="shared" si="27"/>
        <v>0.69615390719696979</v>
      </c>
      <c r="H35" s="20">
        <f>Conventional!$D$8</f>
        <v>400</v>
      </c>
      <c r="I35" s="18">
        <f t="shared" si="28"/>
        <v>4.7914724522058822</v>
      </c>
      <c r="J35" s="18">
        <f t="shared" si="29"/>
        <v>10.197102916666665</v>
      </c>
      <c r="L35" s="12">
        <f t="shared" si="30"/>
        <v>0.69712036261363652</v>
      </c>
      <c r="M35" s="13">
        <f t="shared" si="31"/>
        <v>400.42637738970592</v>
      </c>
      <c r="N35" s="14">
        <f>Conventional!$F$8</f>
        <v>4.8</v>
      </c>
      <c r="O35" s="12">
        <f t="shared" si="32"/>
        <v>10.221264302083334</v>
      </c>
      <c r="Q35" s="8">
        <f t="shared" si="33"/>
        <v>0.66826979053030311</v>
      </c>
      <c r="R35" s="9">
        <f t="shared" si="34"/>
        <v>387.69818382352946</v>
      </c>
      <c r="S35" s="8">
        <f t="shared" si="35"/>
        <v>4.5454361286764708</v>
      </c>
      <c r="T35" s="10">
        <f>Conventional!$H$8</f>
        <v>9.5</v>
      </c>
    </row>
    <row r="36" spans="1:20" x14ac:dyDescent="0.15">
      <c r="B36" s="16">
        <f>B35+0.025</f>
        <v>0.70000000000000007</v>
      </c>
      <c r="C36" s="17">
        <f t="shared" si="21"/>
        <v>401.6968056483957</v>
      </c>
      <c r="D36" s="16">
        <f t="shared" si="22"/>
        <v>4.8254085651737952</v>
      </c>
      <c r="E36" s="16">
        <f t="shared" si="23"/>
        <v>10.293255236742421</v>
      </c>
      <c r="G36" s="18">
        <f t="shared" si="27"/>
        <v>0.7188205738636364</v>
      </c>
      <c r="H36" s="19">
        <f>H35+10</f>
        <v>410</v>
      </c>
      <c r="I36" s="18">
        <f t="shared" si="28"/>
        <v>4.9914724522058815</v>
      </c>
      <c r="J36" s="18">
        <f t="shared" si="29"/>
        <v>10.763769583333332</v>
      </c>
      <c r="L36" s="12">
        <f t="shared" si="30"/>
        <v>0.71412036261363654</v>
      </c>
      <c r="M36" s="13">
        <f t="shared" si="31"/>
        <v>407.92637738970586</v>
      </c>
      <c r="N36" s="12">
        <f>N35+0.15</f>
        <v>4.95</v>
      </c>
      <c r="O36" s="12">
        <f t="shared" si="32"/>
        <v>10.646264302083333</v>
      </c>
      <c r="Q36" s="8">
        <f t="shared" si="33"/>
        <v>0.68226979053030312</v>
      </c>
      <c r="R36" s="9">
        <f t="shared" si="34"/>
        <v>393.87465441176471</v>
      </c>
      <c r="S36" s="8">
        <f t="shared" si="35"/>
        <v>4.6689655404411763</v>
      </c>
      <c r="T36" s="8">
        <f>T35+0.35</f>
        <v>9.85</v>
      </c>
    </row>
    <row r="37" spans="1:20" x14ac:dyDescent="0.15">
      <c r="B37" s="16">
        <f t="shared" ref="B37:B42" si="36">B36+0.025</f>
        <v>0.72500000000000009</v>
      </c>
      <c r="C37" s="17">
        <f t="shared" si="21"/>
        <v>412.72621741310161</v>
      </c>
      <c r="D37" s="16">
        <f t="shared" si="22"/>
        <v>5.0459968004679148</v>
      </c>
      <c r="E37" s="16">
        <f t="shared" si="23"/>
        <v>10.918255236742425</v>
      </c>
      <c r="G37" s="18">
        <f t="shared" si="27"/>
        <v>0.74148724053030313</v>
      </c>
      <c r="H37" s="19">
        <f t="shared" ref="H37:H42" si="37">H36+10</f>
        <v>420</v>
      </c>
      <c r="I37" s="18">
        <f t="shared" si="28"/>
        <v>5.1914724522058817</v>
      </c>
      <c r="J37" s="18">
        <f t="shared" si="29"/>
        <v>11.330436249999998</v>
      </c>
      <c r="L37" s="12">
        <f t="shared" si="30"/>
        <v>0.73112036261363667</v>
      </c>
      <c r="M37" s="13">
        <f t="shared" si="31"/>
        <v>415.42637738970598</v>
      </c>
      <c r="N37" s="12">
        <f t="shared" ref="N37:N42" si="38">N36+0.15</f>
        <v>5.1000000000000005</v>
      </c>
      <c r="O37" s="12">
        <f t="shared" si="32"/>
        <v>11.071264302083335</v>
      </c>
      <c r="Q37" s="8">
        <f t="shared" si="33"/>
        <v>0.69626979053030313</v>
      </c>
      <c r="R37" s="9">
        <f t="shared" si="34"/>
        <v>400.05112500000001</v>
      </c>
      <c r="S37" s="8">
        <f t="shared" si="35"/>
        <v>4.7924949522058826</v>
      </c>
      <c r="T37" s="8">
        <f t="shared" ref="T37:T42" si="39">T36+0.35</f>
        <v>10.199999999999999</v>
      </c>
    </row>
    <row r="38" spans="1:20" x14ac:dyDescent="0.15">
      <c r="B38" s="16">
        <f t="shared" si="36"/>
        <v>0.75000000000000011</v>
      </c>
      <c r="C38" s="17">
        <f t="shared" si="21"/>
        <v>423.75562917780752</v>
      </c>
      <c r="D38" s="16">
        <f t="shared" si="22"/>
        <v>5.2665850357620325</v>
      </c>
      <c r="E38" s="16">
        <f t="shared" si="23"/>
        <v>11.543255236742425</v>
      </c>
      <c r="G38" s="18">
        <f t="shared" si="27"/>
        <v>0.76415390719696974</v>
      </c>
      <c r="H38" s="19">
        <f t="shared" si="37"/>
        <v>430</v>
      </c>
      <c r="I38" s="18">
        <f t="shared" si="28"/>
        <v>5.3914724522058819</v>
      </c>
      <c r="J38" s="18">
        <f t="shared" si="29"/>
        <v>11.897102916666665</v>
      </c>
      <c r="L38" s="12">
        <f t="shared" si="30"/>
        <v>0.74812036261363668</v>
      </c>
      <c r="M38" s="13">
        <f t="shared" si="31"/>
        <v>422.92637738970598</v>
      </c>
      <c r="N38" s="12">
        <f t="shared" si="38"/>
        <v>5.2500000000000009</v>
      </c>
      <c r="O38" s="12">
        <f t="shared" si="32"/>
        <v>11.496264302083336</v>
      </c>
      <c r="Q38" s="8">
        <f t="shared" si="33"/>
        <v>0.71026979053030304</v>
      </c>
      <c r="R38" s="9">
        <f t="shared" si="34"/>
        <v>406.22759558823526</v>
      </c>
      <c r="S38" s="8">
        <f t="shared" si="35"/>
        <v>4.9160243639705872</v>
      </c>
      <c r="T38" s="8">
        <f t="shared" si="39"/>
        <v>10.549999999999999</v>
      </c>
    </row>
    <row r="39" spans="1:20" x14ac:dyDescent="0.15">
      <c r="B39" s="16">
        <f t="shared" si="36"/>
        <v>0.77500000000000013</v>
      </c>
      <c r="C39" s="17">
        <f t="shared" si="21"/>
        <v>434.78504094251343</v>
      </c>
      <c r="D39" s="16">
        <f t="shared" si="22"/>
        <v>5.4871732710561503</v>
      </c>
      <c r="E39" s="16">
        <f t="shared" si="23"/>
        <v>12.168255236742425</v>
      </c>
      <c r="G39" s="18">
        <f t="shared" si="27"/>
        <v>0.78682057386363646</v>
      </c>
      <c r="H39" s="19">
        <f t="shared" si="37"/>
        <v>440</v>
      </c>
      <c r="I39" s="18">
        <f t="shared" si="28"/>
        <v>5.5914724522058821</v>
      </c>
      <c r="J39" s="18">
        <f t="shared" si="29"/>
        <v>12.463769583333333</v>
      </c>
      <c r="L39" s="12">
        <f t="shared" si="30"/>
        <v>0.7651203626136367</v>
      </c>
      <c r="M39" s="13">
        <f t="shared" si="31"/>
        <v>430.42637738970598</v>
      </c>
      <c r="N39" s="12">
        <f t="shared" si="38"/>
        <v>5.4000000000000012</v>
      </c>
      <c r="O39" s="12">
        <f t="shared" si="32"/>
        <v>11.921264302083337</v>
      </c>
      <c r="Q39" s="8">
        <f t="shared" si="33"/>
        <v>0.72426979053030305</v>
      </c>
      <c r="R39" s="9">
        <f t="shared" si="34"/>
        <v>412.40406617647051</v>
      </c>
      <c r="S39" s="8">
        <f t="shared" si="35"/>
        <v>5.0395537757352935</v>
      </c>
      <c r="T39" s="8">
        <f t="shared" si="39"/>
        <v>10.899999999999999</v>
      </c>
    </row>
    <row r="40" spans="1:20" x14ac:dyDescent="0.15">
      <c r="B40" s="16">
        <f t="shared" si="36"/>
        <v>0.80000000000000016</v>
      </c>
      <c r="C40" s="17">
        <f t="shared" si="21"/>
        <v>445.81445270721929</v>
      </c>
      <c r="D40" s="16">
        <f t="shared" si="22"/>
        <v>5.707761506350268</v>
      </c>
      <c r="E40" s="16">
        <f t="shared" si="23"/>
        <v>12.793255236742425</v>
      </c>
      <c r="G40" s="18">
        <f t="shared" si="27"/>
        <v>0.80948724053030308</v>
      </c>
      <c r="H40" s="19">
        <f t="shared" si="37"/>
        <v>450</v>
      </c>
      <c r="I40" s="18">
        <f t="shared" si="28"/>
        <v>5.7914724522058822</v>
      </c>
      <c r="J40" s="18">
        <f t="shared" si="29"/>
        <v>13.030436249999999</v>
      </c>
      <c r="L40" s="12">
        <f t="shared" si="30"/>
        <v>0.7821203626136366</v>
      </c>
      <c r="M40" s="13">
        <f t="shared" si="31"/>
        <v>437.92637738970598</v>
      </c>
      <c r="N40" s="12">
        <f t="shared" si="38"/>
        <v>5.5500000000000016</v>
      </c>
      <c r="O40" s="12">
        <f t="shared" si="32"/>
        <v>12.346264302083338</v>
      </c>
      <c r="Q40" s="8">
        <f t="shared" si="33"/>
        <v>0.73826979053030295</v>
      </c>
      <c r="R40" s="9">
        <f t="shared" si="34"/>
        <v>418.58053676470587</v>
      </c>
      <c r="S40" s="8">
        <f t="shared" si="35"/>
        <v>5.1630831874999989</v>
      </c>
      <c r="T40" s="8">
        <f t="shared" si="39"/>
        <v>11.249999999999998</v>
      </c>
    </row>
    <row r="41" spans="1:20" x14ac:dyDescent="0.15">
      <c r="B41" s="32">
        <f t="shared" si="36"/>
        <v>0.82500000000000018</v>
      </c>
      <c r="C41" s="33">
        <f t="shared" si="21"/>
        <v>456.84386447192514</v>
      </c>
      <c r="D41" s="32">
        <f t="shared" si="22"/>
        <v>5.9283497416443849</v>
      </c>
      <c r="E41" s="32">
        <f t="shared" si="23"/>
        <v>13.418255236742425</v>
      </c>
      <c r="G41" s="34">
        <f t="shared" si="27"/>
        <v>0.8321539071969698</v>
      </c>
      <c r="H41" s="35">
        <f t="shared" si="37"/>
        <v>460</v>
      </c>
      <c r="I41" s="34">
        <f t="shared" si="28"/>
        <v>5.9914724522058815</v>
      </c>
      <c r="J41" s="34">
        <f t="shared" si="29"/>
        <v>13.597102916666666</v>
      </c>
      <c r="L41" s="36">
        <f t="shared" si="30"/>
        <v>0.79912036261363661</v>
      </c>
      <c r="M41" s="37">
        <f t="shared" si="31"/>
        <v>445.42637738970598</v>
      </c>
      <c r="N41" s="36">
        <f t="shared" si="38"/>
        <v>5.700000000000002</v>
      </c>
      <c r="O41" s="36">
        <f t="shared" si="32"/>
        <v>12.77126430208334</v>
      </c>
      <c r="Q41" s="38">
        <f t="shared" si="33"/>
        <v>0.75226979053030296</v>
      </c>
      <c r="R41" s="39">
        <f t="shared" si="34"/>
        <v>424.75700735294112</v>
      </c>
      <c r="S41" s="38">
        <f t="shared" si="35"/>
        <v>5.2866125992647053</v>
      </c>
      <c r="T41" s="38">
        <f t="shared" si="39"/>
        <v>11.599999999999998</v>
      </c>
    </row>
    <row r="42" spans="1:20" x14ac:dyDescent="0.15">
      <c r="A42" s="40"/>
      <c r="B42" s="41">
        <f t="shared" si="36"/>
        <v>0.8500000000000002</v>
      </c>
      <c r="C42" s="42">
        <f t="shared" si="21"/>
        <v>467.87327623663106</v>
      </c>
      <c r="D42" s="41">
        <f t="shared" si="22"/>
        <v>6.1489379769385026</v>
      </c>
      <c r="E42" s="41">
        <f t="shared" si="23"/>
        <v>14.043255236742425</v>
      </c>
      <c r="F42" s="40"/>
      <c r="G42" s="43">
        <f t="shared" si="27"/>
        <v>0.85482057386363641</v>
      </c>
      <c r="H42" s="44">
        <f t="shared" si="37"/>
        <v>470</v>
      </c>
      <c r="I42" s="43">
        <f t="shared" si="28"/>
        <v>6.1914724522058817</v>
      </c>
      <c r="J42" s="43">
        <f t="shared" si="29"/>
        <v>14.163769583333332</v>
      </c>
      <c r="K42" s="40"/>
      <c r="L42" s="45">
        <f t="shared" si="30"/>
        <v>0.81612036261363663</v>
      </c>
      <c r="M42" s="46">
        <f t="shared" si="31"/>
        <v>452.92637738970598</v>
      </c>
      <c r="N42" s="45">
        <f t="shared" si="38"/>
        <v>5.8500000000000023</v>
      </c>
      <c r="O42" s="45">
        <f t="shared" si="32"/>
        <v>13.196264302083339</v>
      </c>
      <c r="P42" s="40"/>
      <c r="Q42" s="47">
        <f t="shared" si="33"/>
        <v>0.76626979053030297</v>
      </c>
      <c r="R42" s="48">
        <f t="shared" si="34"/>
        <v>430.93347794117642</v>
      </c>
      <c r="S42" s="47">
        <f t="shared" si="35"/>
        <v>5.4101420110294107</v>
      </c>
      <c r="T42" s="47">
        <f t="shared" si="39"/>
        <v>11.949999999999998</v>
      </c>
    </row>
    <row r="43" spans="1:20" x14ac:dyDescent="0.15">
      <c r="A43" s="382" t="s">
        <v>84</v>
      </c>
      <c r="B43" s="382"/>
      <c r="C43" s="382"/>
      <c r="D43" s="382"/>
      <c r="E43" s="382"/>
      <c r="F43" s="382"/>
      <c r="G43" s="382"/>
      <c r="H43" s="382"/>
      <c r="I43" s="382"/>
      <c r="J43" s="382"/>
      <c r="K43" s="382"/>
      <c r="L43" s="382"/>
      <c r="M43" s="382"/>
      <c r="N43" s="382"/>
      <c r="O43" s="382"/>
      <c r="P43" s="382"/>
      <c r="Q43" s="382"/>
      <c r="R43" s="382"/>
      <c r="S43" s="382"/>
      <c r="T43" s="382"/>
    </row>
    <row r="44" spans="1:20" x14ac:dyDescent="0.15">
      <c r="B44" s="2" t="s">
        <v>2</v>
      </c>
      <c r="C44" s="2" t="s">
        <v>68</v>
      </c>
      <c r="D44" s="2" t="s">
        <v>4</v>
      </c>
      <c r="E44" s="2" t="s">
        <v>69</v>
      </c>
    </row>
    <row r="45" spans="1:20" x14ac:dyDescent="0.15">
      <c r="A45" s="1" t="s">
        <v>70</v>
      </c>
      <c r="B45" s="3">
        <f>'Strip-Till'!B$31</f>
        <v>654.75218863636371</v>
      </c>
      <c r="C45" s="3">
        <f>'Strip-Till'!D$31</f>
        <v>702.14913750000005</v>
      </c>
      <c r="D45" s="3">
        <f>'Strip-Till'!F$31</f>
        <v>751.87475000000006</v>
      </c>
      <c r="E45" s="3">
        <f>'Strip-Till'!H$31</f>
        <v>336.07063124999991</v>
      </c>
    </row>
    <row r="46" spans="1:20" x14ac:dyDescent="0.15">
      <c r="A46" s="1" t="s">
        <v>71</v>
      </c>
      <c r="B46" s="4">
        <f>'Strip-Till'!B$7</f>
        <v>1200</v>
      </c>
      <c r="C46" s="4">
        <f>'Strip-Till'!D$7</f>
        <v>4700</v>
      </c>
      <c r="D46" s="4">
        <f>'Strip-Till'!F$7</f>
        <v>200</v>
      </c>
      <c r="E46" s="4">
        <f>'Strip-Till'!H$7</f>
        <v>60</v>
      </c>
    </row>
    <row r="47" spans="1:20" x14ac:dyDescent="0.15">
      <c r="A47" s="5"/>
      <c r="B47" s="383" t="s">
        <v>74</v>
      </c>
      <c r="C47" s="383"/>
      <c r="D47" s="383"/>
      <c r="E47" s="383"/>
      <c r="F47" s="5"/>
      <c r="G47" s="384" t="s">
        <v>75</v>
      </c>
      <c r="H47" s="384"/>
      <c r="I47" s="384"/>
      <c r="J47" s="384"/>
      <c r="K47" s="5"/>
      <c r="L47" s="385" t="s">
        <v>76</v>
      </c>
      <c r="M47" s="385"/>
      <c r="N47" s="385"/>
      <c r="O47" s="385"/>
      <c r="P47" s="5"/>
      <c r="Q47" s="386" t="s">
        <v>77</v>
      </c>
      <c r="R47" s="386"/>
      <c r="S47" s="386"/>
      <c r="T47" s="386"/>
    </row>
    <row r="48" spans="1:20" ht="28" x14ac:dyDescent="0.15">
      <c r="A48" s="6"/>
      <c r="B48" s="23" t="s">
        <v>50</v>
      </c>
      <c r="C48" s="31" t="s">
        <v>78</v>
      </c>
      <c r="D48" s="31" t="s">
        <v>47</v>
      </c>
      <c r="E48" s="31" t="s">
        <v>79</v>
      </c>
      <c r="F48" s="27"/>
      <c r="G48" s="30" t="s">
        <v>50</v>
      </c>
      <c r="H48" s="24" t="s">
        <v>78</v>
      </c>
      <c r="I48" s="30" t="s">
        <v>47</v>
      </c>
      <c r="J48" s="30" t="s">
        <v>79</v>
      </c>
      <c r="K48" s="27"/>
      <c r="L48" s="29" t="s">
        <v>50</v>
      </c>
      <c r="M48" s="29" t="s">
        <v>78</v>
      </c>
      <c r="N48" s="25" t="s">
        <v>47</v>
      </c>
      <c r="O48" s="29" t="s">
        <v>79</v>
      </c>
      <c r="P48" s="27"/>
      <c r="Q48" s="28" t="s">
        <v>50</v>
      </c>
      <c r="R48" s="28" t="s">
        <v>78</v>
      </c>
      <c r="S48" s="26" t="s">
        <v>47</v>
      </c>
      <c r="T48" s="28" t="s">
        <v>79</v>
      </c>
    </row>
    <row r="49" spans="2:20" x14ac:dyDescent="0.15">
      <c r="B49" s="16">
        <f t="shared" ref="B49:B54" si="40">B50-0.025</f>
        <v>0.49999999999999989</v>
      </c>
      <c r="C49" s="17">
        <f>(((B49*$B$46)-$B$45+$C$45)/$C$46)*2000</f>
        <v>275.48806334622816</v>
      </c>
      <c r="D49" s="16">
        <f>(((B49*$B$46)-$B$45+$D$45)/$D$46)</f>
        <v>3.4856128068181813</v>
      </c>
      <c r="E49" s="16">
        <f>(((B49*$B$46)-$B$45+$E$45)/$E$46)</f>
        <v>4.6886407102272676</v>
      </c>
      <c r="G49" s="18">
        <f>(((H49*$C$46/2000)-$C$45+$B$45)/$B$46)</f>
        <v>0.60675254261363643</v>
      </c>
      <c r="H49" s="19">
        <f t="shared" ref="H49:H54" si="41">H50-10</f>
        <v>330</v>
      </c>
      <c r="I49" s="18">
        <f>(((H49*$C$46/2000)-$C$45+$D$45)/$D$46)</f>
        <v>4.1261280625000003</v>
      </c>
      <c r="J49" s="18">
        <f>(((H49*$C$46/2000)-$C$45+$E$45)/$E$46)</f>
        <v>6.8236915624999979</v>
      </c>
      <c r="L49" s="12">
        <f>(((N49*$D$46)-$D$45+$B$45)/$B$46)</f>
        <v>0.54406453219696937</v>
      </c>
      <c r="M49" s="13">
        <f>(((N49*$D$46)-$D$45+$C$45)/$C$46)*2000</f>
        <v>297.98910106382965</v>
      </c>
      <c r="N49" s="12">
        <f t="shared" ref="N49:N54" si="42">N50-0.15</f>
        <v>3.7499999999999982</v>
      </c>
      <c r="O49" s="12">
        <f>(((N49*$D$46)-$D$45+$E$45)/$E$46)</f>
        <v>5.5699313541666582</v>
      </c>
      <c r="Q49" s="8">
        <f>(((T49*$E$46)-$E$45+$B$45)/$B$46)</f>
        <v>0.61806796448863655</v>
      </c>
      <c r="R49" s="9">
        <f>(((T49*$E$46)-$E$45+$C$45)/$C$46)*2000</f>
        <v>335.77808776595759</v>
      </c>
      <c r="S49" s="8">
        <f>(((T49*$E$46)-$E$45+$D$45)/$D$46)</f>
        <v>4.1940205937500012</v>
      </c>
      <c r="T49" s="8">
        <f t="shared" ref="T49:T54" si="43">T50-0.35</f>
        <v>7.0500000000000025</v>
      </c>
    </row>
    <row r="50" spans="2:20" x14ac:dyDescent="0.15">
      <c r="B50" s="16">
        <f t="shared" si="40"/>
        <v>0.52499999999999991</v>
      </c>
      <c r="C50" s="17">
        <f t="shared" ref="C50:C63" si="44">(((B50*$B$46)-$B$45+$C$45)/$C$46)*2000</f>
        <v>288.25402079303672</v>
      </c>
      <c r="D50" s="16">
        <f t="shared" ref="D50:D63" si="45">(((B50*$B$46)-$B$45+$D$45)/$D$46)</f>
        <v>3.6356128068181812</v>
      </c>
      <c r="E50" s="16">
        <f t="shared" ref="E50:E63" si="46">(((B50*$B$46)-$B$45+$E$45)/$E$46)</f>
        <v>5.1886407102272676</v>
      </c>
      <c r="G50" s="18">
        <f t="shared" ref="G50:G63" si="47">(((H50*$C$46/2000)-$C$45+$B$45)/$B$46)</f>
        <v>0.62633587594696971</v>
      </c>
      <c r="H50" s="19">
        <f t="shared" si="41"/>
        <v>340</v>
      </c>
      <c r="I50" s="18">
        <f t="shared" ref="I50:I63" si="48">(((H50*$C$46/2000)-$C$45+$D$45)/$D$46)</f>
        <v>4.2436280625</v>
      </c>
      <c r="J50" s="18">
        <f t="shared" ref="J50:J63" si="49">(((H50*$C$46/2000)-$C$45+$E$45)/$E$46)</f>
        <v>7.2153582291666645</v>
      </c>
      <c r="L50" s="12">
        <f t="shared" ref="L50:L63" si="50">(((N50*$D$46)-$D$45+$B$45)/$B$46)</f>
        <v>0.5690645321969694</v>
      </c>
      <c r="M50" s="13">
        <f t="shared" ref="M50:M63" si="51">(((N50*$D$46)-$D$45+$C$45)/$C$46)*2000</f>
        <v>310.75505851063815</v>
      </c>
      <c r="N50" s="12">
        <f t="shared" si="42"/>
        <v>3.8999999999999981</v>
      </c>
      <c r="O50" s="12">
        <f t="shared" ref="O50:O63" si="52">(((N50*$D$46)-$D$45+$E$45)/$E$46)</f>
        <v>6.0699313541666582</v>
      </c>
      <c r="Q50" s="8">
        <f t="shared" ref="Q50:Q63" si="53">(((T50*$E$46)-$E$45+$B$45)/$B$46)</f>
        <v>0.63556796448863662</v>
      </c>
      <c r="R50" s="9">
        <f t="shared" ref="R50:R63" si="54">(((T50*$E$46)-$E$45+$C$45)/$C$46)*2000</f>
        <v>344.71425797872354</v>
      </c>
      <c r="S50" s="8">
        <f t="shared" ref="S50:S63" si="55">(((T50*$E$46)-$E$45+$D$45)/$D$46)</f>
        <v>4.2990205937500017</v>
      </c>
      <c r="T50" s="8">
        <f t="shared" si="43"/>
        <v>7.4000000000000021</v>
      </c>
    </row>
    <row r="51" spans="2:20" x14ac:dyDescent="0.15">
      <c r="B51" s="16">
        <f t="shared" si="40"/>
        <v>0.54999999999999993</v>
      </c>
      <c r="C51" s="17">
        <f t="shared" si="44"/>
        <v>301.01997823984522</v>
      </c>
      <c r="D51" s="16">
        <f t="shared" si="45"/>
        <v>3.7856128068181811</v>
      </c>
      <c r="E51" s="16">
        <f t="shared" si="46"/>
        <v>5.6886407102272676</v>
      </c>
      <c r="G51" s="18">
        <f t="shared" si="47"/>
        <v>0.645919209280303</v>
      </c>
      <c r="H51" s="19">
        <f t="shared" si="41"/>
        <v>350</v>
      </c>
      <c r="I51" s="18">
        <f t="shared" si="48"/>
        <v>4.3611280624999997</v>
      </c>
      <c r="J51" s="18">
        <f t="shared" si="49"/>
        <v>7.6070248958333311</v>
      </c>
      <c r="L51" s="12">
        <f t="shared" si="50"/>
        <v>0.59406453219696942</v>
      </c>
      <c r="M51" s="13">
        <f t="shared" si="51"/>
        <v>323.52101595744665</v>
      </c>
      <c r="N51" s="12">
        <f t="shared" si="42"/>
        <v>4.049999999999998</v>
      </c>
      <c r="O51" s="12">
        <f t="shared" si="52"/>
        <v>6.5699313541666582</v>
      </c>
      <c r="Q51" s="8">
        <f t="shared" si="53"/>
        <v>0.65306796448863658</v>
      </c>
      <c r="R51" s="9">
        <f t="shared" si="54"/>
        <v>353.65042819148942</v>
      </c>
      <c r="S51" s="8">
        <f t="shared" si="55"/>
        <v>4.4040205937500012</v>
      </c>
      <c r="T51" s="8">
        <f t="shared" si="43"/>
        <v>7.7500000000000018</v>
      </c>
    </row>
    <row r="52" spans="2:20" x14ac:dyDescent="0.15">
      <c r="B52" s="16">
        <f t="shared" si="40"/>
        <v>0.57499999999999996</v>
      </c>
      <c r="C52" s="17">
        <f t="shared" si="44"/>
        <v>313.78593568665377</v>
      </c>
      <c r="D52" s="16">
        <f t="shared" si="45"/>
        <v>3.9356128068181819</v>
      </c>
      <c r="E52" s="16">
        <f t="shared" si="46"/>
        <v>6.1886407102272702</v>
      </c>
      <c r="G52" s="18">
        <f t="shared" si="47"/>
        <v>0.66550254261363639</v>
      </c>
      <c r="H52" s="19">
        <f t="shared" si="41"/>
        <v>360</v>
      </c>
      <c r="I52" s="18">
        <f t="shared" si="48"/>
        <v>4.4786280625000003</v>
      </c>
      <c r="J52" s="18">
        <f t="shared" si="49"/>
        <v>7.9986915624999977</v>
      </c>
      <c r="L52" s="12">
        <f t="shared" si="50"/>
        <v>0.61906453219696944</v>
      </c>
      <c r="M52" s="13">
        <f t="shared" si="51"/>
        <v>336.28697340425515</v>
      </c>
      <c r="N52" s="12">
        <f t="shared" si="42"/>
        <v>4.1999999999999984</v>
      </c>
      <c r="O52" s="12">
        <f t="shared" si="52"/>
        <v>7.0699313541666582</v>
      </c>
      <c r="Q52" s="8">
        <f t="shared" si="53"/>
        <v>0.67056796448863665</v>
      </c>
      <c r="R52" s="9">
        <f t="shared" si="54"/>
        <v>362.58659840425543</v>
      </c>
      <c r="S52" s="8">
        <f t="shared" si="55"/>
        <v>4.5090205937500016</v>
      </c>
      <c r="T52" s="8">
        <f t="shared" si="43"/>
        <v>8.1000000000000014</v>
      </c>
    </row>
    <row r="53" spans="2:20" x14ac:dyDescent="0.15">
      <c r="B53" s="16">
        <f t="shared" si="40"/>
        <v>0.6</v>
      </c>
      <c r="C53" s="17">
        <f t="shared" si="44"/>
        <v>326.55189313346227</v>
      </c>
      <c r="D53" s="16">
        <f t="shared" si="45"/>
        <v>4.0856128068181814</v>
      </c>
      <c r="E53" s="16">
        <f t="shared" si="46"/>
        <v>6.6886407102272702</v>
      </c>
      <c r="G53" s="18">
        <f t="shared" si="47"/>
        <v>0.68508587594696968</v>
      </c>
      <c r="H53" s="19">
        <f t="shared" si="41"/>
        <v>370</v>
      </c>
      <c r="I53" s="18">
        <f t="shared" si="48"/>
        <v>4.5961280625000001</v>
      </c>
      <c r="J53" s="18">
        <f t="shared" si="49"/>
        <v>8.3903582291666634</v>
      </c>
      <c r="L53" s="12">
        <f t="shared" si="50"/>
        <v>0.64406453219696946</v>
      </c>
      <c r="M53" s="13">
        <f t="shared" si="51"/>
        <v>349.05293085106371</v>
      </c>
      <c r="N53" s="12">
        <f t="shared" si="42"/>
        <v>4.3499999999999988</v>
      </c>
      <c r="O53" s="12">
        <f t="shared" si="52"/>
        <v>7.56993135416666</v>
      </c>
      <c r="Q53" s="8">
        <f t="shared" si="53"/>
        <v>0.68806796448863661</v>
      </c>
      <c r="R53" s="9">
        <f t="shared" si="54"/>
        <v>371.52276861702131</v>
      </c>
      <c r="S53" s="8">
        <f t="shared" si="55"/>
        <v>4.6140205937500012</v>
      </c>
      <c r="T53" s="8">
        <f t="shared" si="43"/>
        <v>8.4500000000000011</v>
      </c>
    </row>
    <row r="54" spans="2:20" x14ac:dyDescent="0.15">
      <c r="B54" s="16">
        <f t="shared" si="40"/>
        <v>0.625</v>
      </c>
      <c r="C54" s="17">
        <f t="shared" si="44"/>
        <v>339.31785058027083</v>
      </c>
      <c r="D54" s="16">
        <f t="shared" si="45"/>
        <v>4.2356128068181818</v>
      </c>
      <c r="E54" s="16">
        <f t="shared" si="46"/>
        <v>7.1886407102272702</v>
      </c>
      <c r="G54" s="18">
        <f t="shared" si="47"/>
        <v>0.70466920928030308</v>
      </c>
      <c r="H54" s="19">
        <f t="shared" si="41"/>
        <v>380</v>
      </c>
      <c r="I54" s="18">
        <f t="shared" si="48"/>
        <v>4.7136280624999998</v>
      </c>
      <c r="J54" s="18">
        <f t="shared" si="49"/>
        <v>8.7820248958333309</v>
      </c>
      <c r="L54" s="12">
        <f t="shared" si="50"/>
        <v>0.66906453219696949</v>
      </c>
      <c r="M54" s="13">
        <f t="shared" si="51"/>
        <v>361.81888829787221</v>
      </c>
      <c r="N54" s="12">
        <f t="shared" si="42"/>
        <v>4.4999999999999991</v>
      </c>
      <c r="O54" s="12">
        <f t="shared" si="52"/>
        <v>8.0699313541666609</v>
      </c>
      <c r="Q54" s="8">
        <f t="shared" si="53"/>
        <v>0.70556796448863646</v>
      </c>
      <c r="R54" s="9">
        <f t="shared" si="54"/>
        <v>380.45893882978731</v>
      </c>
      <c r="S54" s="8">
        <f t="shared" si="55"/>
        <v>4.7190205937500007</v>
      </c>
      <c r="T54" s="8">
        <f t="shared" si="43"/>
        <v>8.8000000000000007</v>
      </c>
    </row>
    <row r="55" spans="2:20" ht="14" thickBot="1" x14ac:dyDescent="0.2">
      <c r="B55" s="16">
        <f>B56-0.025</f>
        <v>0.65</v>
      </c>
      <c r="C55" s="17">
        <f t="shared" si="44"/>
        <v>352.08380802707927</v>
      </c>
      <c r="D55" s="16">
        <f t="shared" si="45"/>
        <v>4.3856128068181821</v>
      </c>
      <c r="E55" s="16">
        <f t="shared" si="46"/>
        <v>7.6886407102272702</v>
      </c>
      <c r="G55" s="18">
        <f t="shared" si="47"/>
        <v>0.72425254261363636</v>
      </c>
      <c r="H55" s="19">
        <f>H56-10</f>
        <v>390</v>
      </c>
      <c r="I55" s="18">
        <f t="shared" si="48"/>
        <v>4.8311280625000004</v>
      </c>
      <c r="J55" s="18">
        <f t="shared" si="49"/>
        <v>9.1736915624999984</v>
      </c>
      <c r="L55" s="12">
        <f t="shared" si="50"/>
        <v>0.69406453219696962</v>
      </c>
      <c r="M55" s="13">
        <f t="shared" si="51"/>
        <v>374.58484574468082</v>
      </c>
      <c r="N55" s="12">
        <f>N56-0.15</f>
        <v>4.6499999999999995</v>
      </c>
      <c r="O55" s="12">
        <f t="shared" si="52"/>
        <v>8.5699313541666626</v>
      </c>
      <c r="Q55" s="8">
        <f t="shared" si="53"/>
        <v>0.72306796448863653</v>
      </c>
      <c r="R55" s="9">
        <f t="shared" si="54"/>
        <v>389.39510904255326</v>
      </c>
      <c r="S55" s="8">
        <f t="shared" si="55"/>
        <v>4.8240205937500011</v>
      </c>
      <c r="T55" s="8">
        <f>T56-0.35</f>
        <v>9.15</v>
      </c>
    </row>
    <row r="56" spans="2:20" ht="14" thickBot="1" x14ac:dyDescent="0.2">
      <c r="B56" s="22">
        <f>Conventional!$B$8</f>
        <v>0.67500000000000004</v>
      </c>
      <c r="C56" s="17">
        <f t="shared" si="44"/>
        <v>364.84976547388783</v>
      </c>
      <c r="D56" s="16">
        <f t="shared" si="45"/>
        <v>4.5356128068181816</v>
      </c>
      <c r="E56" s="16">
        <f t="shared" si="46"/>
        <v>8.1886407102272702</v>
      </c>
      <c r="G56" s="18">
        <f t="shared" si="47"/>
        <v>0.74383587594696976</v>
      </c>
      <c r="H56" s="20">
        <f>Conventional!$D$8</f>
        <v>400</v>
      </c>
      <c r="I56" s="18">
        <f t="shared" si="48"/>
        <v>4.9486280625000001</v>
      </c>
      <c r="J56" s="18">
        <f t="shared" si="49"/>
        <v>9.5653582291666641</v>
      </c>
      <c r="L56" s="12">
        <f t="shared" si="50"/>
        <v>0.71906453219696975</v>
      </c>
      <c r="M56" s="13">
        <f t="shared" si="51"/>
        <v>387.35080319148932</v>
      </c>
      <c r="N56" s="14">
        <f>Conventional!$F$8</f>
        <v>4.8</v>
      </c>
      <c r="O56" s="12">
        <f t="shared" si="52"/>
        <v>9.0699313541666644</v>
      </c>
      <c r="Q56" s="8">
        <f t="shared" si="53"/>
        <v>0.74056796448863649</v>
      </c>
      <c r="R56" s="9">
        <f t="shared" si="54"/>
        <v>398.3312792553192</v>
      </c>
      <c r="S56" s="8">
        <f t="shared" si="55"/>
        <v>4.9290205937500007</v>
      </c>
      <c r="T56" s="10">
        <f>Conventional!$H$8</f>
        <v>9.5</v>
      </c>
    </row>
    <row r="57" spans="2:20" x14ac:dyDescent="0.15">
      <c r="B57" s="16">
        <f>B56+0.025</f>
        <v>0.70000000000000007</v>
      </c>
      <c r="C57" s="17">
        <f t="shared" si="44"/>
        <v>377.61572292069633</v>
      </c>
      <c r="D57" s="16">
        <f t="shared" si="45"/>
        <v>4.6856128068181819</v>
      </c>
      <c r="E57" s="16">
        <f t="shared" si="46"/>
        <v>8.688640710227272</v>
      </c>
      <c r="G57" s="18">
        <f t="shared" si="47"/>
        <v>0.76341920928030305</v>
      </c>
      <c r="H57" s="19">
        <f>H56+10</f>
        <v>410</v>
      </c>
      <c r="I57" s="18">
        <f t="shared" si="48"/>
        <v>5.0661280624999998</v>
      </c>
      <c r="J57" s="18">
        <f t="shared" si="49"/>
        <v>9.9570248958333316</v>
      </c>
      <c r="L57" s="12">
        <f t="shared" si="50"/>
        <v>0.74406453219696966</v>
      </c>
      <c r="M57" s="13">
        <f t="shared" si="51"/>
        <v>400.11676063829788</v>
      </c>
      <c r="N57" s="12">
        <f>N56+0.15</f>
        <v>4.95</v>
      </c>
      <c r="O57" s="12">
        <f t="shared" si="52"/>
        <v>9.5699313541666644</v>
      </c>
      <c r="Q57" s="8">
        <f t="shared" si="53"/>
        <v>0.75806796448863656</v>
      </c>
      <c r="R57" s="9">
        <f t="shared" si="54"/>
        <v>407.2674494680852</v>
      </c>
      <c r="S57" s="8">
        <f t="shared" si="55"/>
        <v>5.0340205937500011</v>
      </c>
      <c r="T57" s="8">
        <f>T56+0.35</f>
        <v>9.85</v>
      </c>
    </row>
    <row r="58" spans="2:20" x14ac:dyDescent="0.15">
      <c r="B58" s="16">
        <f t="shared" ref="B58:B63" si="56">B57+0.025</f>
        <v>0.72500000000000009</v>
      </c>
      <c r="C58" s="17">
        <f t="shared" si="44"/>
        <v>390.38168036750488</v>
      </c>
      <c r="D58" s="16">
        <f t="shared" si="45"/>
        <v>4.8356128068181823</v>
      </c>
      <c r="E58" s="16">
        <f t="shared" si="46"/>
        <v>9.188640710227272</v>
      </c>
      <c r="G58" s="18">
        <f t="shared" si="47"/>
        <v>0.78300254261363633</v>
      </c>
      <c r="H58" s="19">
        <f t="shared" ref="H58:H63" si="57">H57+10</f>
        <v>420</v>
      </c>
      <c r="I58" s="18">
        <f t="shared" si="48"/>
        <v>5.1836280624999995</v>
      </c>
      <c r="J58" s="18">
        <f t="shared" si="49"/>
        <v>10.348691562499997</v>
      </c>
      <c r="L58" s="12">
        <f t="shared" si="50"/>
        <v>0.7690645321969698</v>
      </c>
      <c r="M58" s="13">
        <f t="shared" si="51"/>
        <v>412.88271808510638</v>
      </c>
      <c r="N58" s="12">
        <f t="shared" ref="N58:N63" si="58">N57+0.15</f>
        <v>5.1000000000000005</v>
      </c>
      <c r="O58" s="12">
        <f t="shared" si="52"/>
        <v>10.069931354166666</v>
      </c>
      <c r="Q58" s="8">
        <f t="shared" si="53"/>
        <v>0.77556796448863652</v>
      </c>
      <c r="R58" s="9">
        <f t="shared" si="54"/>
        <v>416.20361968085115</v>
      </c>
      <c r="S58" s="8">
        <f t="shared" si="55"/>
        <v>5.1390205937500015</v>
      </c>
      <c r="T58" s="8">
        <f t="shared" ref="T58:T63" si="59">T57+0.35</f>
        <v>10.199999999999999</v>
      </c>
    </row>
    <row r="59" spans="2:20" x14ac:dyDescent="0.15">
      <c r="B59" s="16">
        <f t="shared" si="56"/>
        <v>0.75000000000000011</v>
      </c>
      <c r="C59" s="17">
        <f t="shared" si="44"/>
        <v>403.14763781431338</v>
      </c>
      <c r="D59" s="16">
        <f t="shared" si="45"/>
        <v>4.9856128068181826</v>
      </c>
      <c r="E59" s="16">
        <f t="shared" si="46"/>
        <v>9.688640710227272</v>
      </c>
      <c r="G59" s="18">
        <f t="shared" si="47"/>
        <v>0.80258587594696973</v>
      </c>
      <c r="H59" s="19">
        <f t="shared" si="57"/>
        <v>430</v>
      </c>
      <c r="I59" s="18">
        <f t="shared" si="48"/>
        <v>5.3011280624999992</v>
      </c>
      <c r="J59" s="18">
        <f t="shared" si="49"/>
        <v>10.740358229166665</v>
      </c>
      <c r="L59" s="12">
        <f t="shared" si="50"/>
        <v>0.79406453219696993</v>
      </c>
      <c r="M59" s="13">
        <f t="shared" si="51"/>
        <v>425.64867553191499</v>
      </c>
      <c r="N59" s="12">
        <f t="shared" si="58"/>
        <v>5.2500000000000009</v>
      </c>
      <c r="O59" s="12">
        <f t="shared" si="52"/>
        <v>10.569931354166668</v>
      </c>
      <c r="Q59" s="8">
        <f t="shared" si="53"/>
        <v>0.79306796448863637</v>
      </c>
      <c r="R59" s="9">
        <f t="shared" si="54"/>
        <v>425.13978989361703</v>
      </c>
      <c r="S59" s="8">
        <f t="shared" si="55"/>
        <v>5.2440205937500002</v>
      </c>
      <c r="T59" s="8">
        <f t="shared" si="59"/>
        <v>10.549999999999999</v>
      </c>
    </row>
    <row r="60" spans="2:20" x14ac:dyDescent="0.15">
      <c r="B60" s="16">
        <f t="shared" si="56"/>
        <v>0.77500000000000013</v>
      </c>
      <c r="C60" s="17">
        <f t="shared" si="44"/>
        <v>415.91359526112188</v>
      </c>
      <c r="D60" s="16">
        <f t="shared" si="45"/>
        <v>5.135612806818183</v>
      </c>
      <c r="E60" s="16">
        <f t="shared" si="46"/>
        <v>10.188640710227272</v>
      </c>
      <c r="G60" s="18">
        <f t="shared" si="47"/>
        <v>0.82216920928030301</v>
      </c>
      <c r="H60" s="19">
        <f t="shared" si="57"/>
        <v>440</v>
      </c>
      <c r="I60" s="18">
        <f t="shared" si="48"/>
        <v>5.4186280624999998</v>
      </c>
      <c r="J60" s="18">
        <f t="shared" si="49"/>
        <v>11.132024895833331</v>
      </c>
      <c r="L60" s="12">
        <f t="shared" si="50"/>
        <v>0.81906453219696995</v>
      </c>
      <c r="M60" s="13">
        <f t="shared" si="51"/>
        <v>438.41463297872349</v>
      </c>
      <c r="N60" s="12">
        <f t="shared" si="58"/>
        <v>5.4000000000000012</v>
      </c>
      <c r="O60" s="12">
        <f t="shared" si="52"/>
        <v>11.069931354166668</v>
      </c>
      <c r="Q60" s="8">
        <f t="shared" si="53"/>
        <v>0.81056796448863644</v>
      </c>
      <c r="R60" s="9">
        <f t="shared" si="54"/>
        <v>434.07596010638298</v>
      </c>
      <c r="S60" s="8">
        <f t="shared" si="55"/>
        <v>5.3490205937500006</v>
      </c>
      <c r="T60" s="8">
        <f t="shared" si="59"/>
        <v>10.899999999999999</v>
      </c>
    </row>
    <row r="61" spans="2:20" x14ac:dyDescent="0.15">
      <c r="B61" s="16">
        <f t="shared" si="56"/>
        <v>0.80000000000000016</v>
      </c>
      <c r="C61" s="17">
        <f t="shared" si="44"/>
        <v>428.67955270793044</v>
      </c>
      <c r="D61" s="16">
        <f t="shared" si="45"/>
        <v>5.2856128068181825</v>
      </c>
      <c r="E61" s="16">
        <f t="shared" si="46"/>
        <v>10.688640710227274</v>
      </c>
      <c r="G61" s="18">
        <f t="shared" si="47"/>
        <v>0.84175254261363641</v>
      </c>
      <c r="H61" s="19">
        <f t="shared" si="57"/>
        <v>450</v>
      </c>
      <c r="I61" s="18">
        <f t="shared" si="48"/>
        <v>5.5361280624999996</v>
      </c>
      <c r="J61" s="18">
        <f t="shared" si="49"/>
        <v>11.523691562499998</v>
      </c>
      <c r="L61" s="12">
        <f t="shared" si="50"/>
        <v>0.84406453219696986</v>
      </c>
      <c r="M61" s="13">
        <f t="shared" si="51"/>
        <v>451.18059042553193</v>
      </c>
      <c r="N61" s="12">
        <f t="shared" si="58"/>
        <v>5.5500000000000016</v>
      </c>
      <c r="O61" s="12">
        <f t="shared" si="52"/>
        <v>11.569931354166668</v>
      </c>
      <c r="Q61" s="8">
        <f t="shared" si="53"/>
        <v>0.8280679644886364</v>
      </c>
      <c r="R61" s="9">
        <f t="shared" si="54"/>
        <v>443.01213031914887</v>
      </c>
      <c r="S61" s="8">
        <f t="shared" si="55"/>
        <v>5.4540205937500001</v>
      </c>
      <c r="T61" s="8">
        <f t="shared" si="59"/>
        <v>11.249999999999998</v>
      </c>
    </row>
    <row r="62" spans="2:20" x14ac:dyDescent="0.15">
      <c r="B62" s="16">
        <f t="shared" si="56"/>
        <v>0.82500000000000018</v>
      </c>
      <c r="C62" s="17">
        <f t="shared" si="44"/>
        <v>441.44551015473905</v>
      </c>
      <c r="D62" s="16">
        <f t="shared" si="45"/>
        <v>5.4356128068181828</v>
      </c>
      <c r="E62" s="16">
        <f t="shared" si="46"/>
        <v>11.188640710227274</v>
      </c>
      <c r="G62" s="18">
        <f t="shared" si="47"/>
        <v>0.86133587594696981</v>
      </c>
      <c r="H62" s="19">
        <f t="shared" si="57"/>
        <v>460</v>
      </c>
      <c r="I62" s="18">
        <f t="shared" si="48"/>
        <v>5.6536280624999993</v>
      </c>
      <c r="J62" s="18">
        <f t="shared" si="49"/>
        <v>11.915358229166664</v>
      </c>
      <c r="L62" s="12">
        <f t="shared" si="50"/>
        <v>0.86906453219697011</v>
      </c>
      <c r="M62" s="13">
        <f t="shared" si="51"/>
        <v>463.94654787234066</v>
      </c>
      <c r="N62" s="12">
        <f t="shared" si="58"/>
        <v>5.700000000000002</v>
      </c>
      <c r="O62" s="12">
        <f t="shared" si="52"/>
        <v>12.069931354166672</v>
      </c>
      <c r="Q62" s="8">
        <f t="shared" si="53"/>
        <v>0.84556796448863636</v>
      </c>
      <c r="R62" s="9">
        <f t="shared" si="54"/>
        <v>451.94830053191487</v>
      </c>
      <c r="S62" s="8">
        <f t="shared" si="55"/>
        <v>5.5590205937500006</v>
      </c>
      <c r="T62" s="8">
        <f t="shared" si="59"/>
        <v>11.599999999999998</v>
      </c>
    </row>
    <row r="63" spans="2:20" x14ac:dyDescent="0.15">
      <c r="B63" s="16">
        <f t="shared" si="56"/>
        <v>0.8500000000000002</v>
      </c>
      <c r="C63" s="17">
        <f t="shared" si="44"/>
        <v>454.2114676015475</v>
      </c>
      <c r="D63" s="16">
        <f t="shared" si="45"/>
        <v>5.5856128068181832</v>
      </c>
      <c r="E63" s="16">
        <f t="shared" si="46"/>
        <v>11.688640710227274</v>
      </c>
      <c r="G63" s="18">
        <f t="shared" si="47"/>
        <v>0.88091920928030309</v>
      </c>
      <c r="H63" s="19">
        <f t="shared" si="57"/>
        <v>470</v>
      </c>
      <c r="I63" s="18">
        <f t="shared" si="48"/>
        <v>5.7711280624999999</v>
      </c>
      <c r="J63" s="18">
        <f t="shared" si="49"/>
        <v>12.307024895833331</v>
      </c>
      <c r="L63" s="12">
        <f t="shared" si="50"/>
        <v>0.89406453219697013</v>
      </c>
      <c r="M63" s="13">
        <f t="shared" si="51"/>
        <v>476.71250531914916</v>
      </c>
      <c r="N63" s="12">
        <f t="shared" si="58"/>
        <v>5.8500000000000023</v>
      </c>
      <c r="O63" s="12">
        <f t="shared" si="52"/>
        <v>12.569931354166672</v>
      </c>
      <c r="Q63" s="8">
        <f t="shared" si="53"/>
        <v>0.86306796448863643</v>
      </c>
      <c r="R63" s="9">
        <f t="shared" si="54"/>
        <v>460.88447074468081</v>
      </c>
      <c r="S63" s="8">
        <f t="shared" si="55"/>
        <v>5.6640205937500001</v>
      </c>
      <c r="T63" s="8">
        <f t="shared" si="59"/>
        <v>11.949999999999998</v>
      </c>
    </row>
    <row r="64" spans="2:20" x14ac:dyDescent="0.15">
      <c r="B64" s="16"/>
      <c r="C64" s="17"/>
      <c r="D64" s="16"/>
      <c r="E64" s="16"/>
      <c r="G64" s="21"/>
      <c r="H64" s="21"/>
      <c r="I64" s="21"/>
      <c r="J64" s="21"/>
      <c r="L64" s="15"/>
      <c r="M64" s="15"/>
      <c r="N64" s="15"/>
      <c r="O64" s="15"/>
      <c r="Q64" s="11"/>
      <c r="R64" s="11"/>
      <c r="S64" s="11"/>
      <c r="T64" s="11"/>
    </row>
    <row r="65" spans="1:20" x14ac:dyDescent="0.15">
      <c r="B65" s="2" t="s">
        <v>2</v>
      </c>
      <c r="C65" s="2" t="s">
        <v>68</v>
      </c>
      <c r="D65" s="2" t="s">
        <v>4</v>
      </c>
      <c r="E65" s="2" t="s">
        <v>69</v>
      </c>
      <c r="G65" s="21"/>
      <c r="H65" s="21"/>
      <c r="I65" s="21"/>
      <c r="J65" s="21"/>
      <c r="L65" s="15"/>
      <c r="M65" s="15"/>
      <c r="N65" s="15"/>
      <c r="O65" s="15"/>
      <c r="Q65" s="11"/>
      <c r="R65" s="11"/>
      <c r="S65" s="11"/>
      <c r="T65" s="11"/>
    </row>
    <row r="66" spans="1:20" x14ac:dyDescent="0.15">
      <c r="A66" s="1" t="s">
        <v>72</v>
      </c>
      <c r="B66" s="49">
        <f>'Strip-Till'!L$31</f>
        <v>523.5557303977273</v>
      </c>
      <c r="C66" s="49">
        <f>'Strip-Till'!N$31</f>
        <v>629.62651249999988</v>
      </c>
      <c r="D66" s="49">
        <f>'Strip-Till'!P$31</f>
        <v>385.66947093750002</v>
      </c>
      <c r="E66" s="49">
        <f>'Strip-Till'!R$31</f>
        <v>279.63701187499998</v>
      </c>
      <c r="G66" s="21"/>
      <c r="H66" s="21"/>
      <c r="I66" s="21"/>
      <c r="J66" s="21"/>
      <c r="L66" s="15"/>
      <c r="M66" s="15"/>
      <c r="N66" s="15"/>
      <c r="O66" s="15"/>
      <c r="Q66" s="11"/>
      <c r="R66" s="11"/>
      <c r="S66" s="11"/>
      <c r="T66" s="11"/>
    </row>
    <row r="67" spans="1:20" x14ac:dyDescent="0.15">
      <c r="A67" s="1" t="s">
        <v>73</v>
      </c>
      <c r="B67" s="4">
        <f>'Strip-Till'!L$7</f>
        <v>750</v>
      </c>
      <c r="C67" s="4">
        <f>'Strip-Till'!N$7</f>
        <v>3400</v>
      </c>
      <c r="D67" s="4">
        <f>'Strip-Till'!P$7</f>
        <v>85</v>
      </c>
      <c r="E67" s="4">
        <f>'Strip-Till'!R$7</f>
        <v>30</v>
      </c>
      <c r="G67" s="21"/>
      <c r="H67" s="21"/>
      <c r="I67" s="21"/>
      <c r="J67" s="21"/>
      <c r="L67" s="15"/>
      <c r="M67" s="15"/>
      <c r="N67" s="15"/>
      <c r="O67" s="15"/>
      <c r="Q67" s="11"/>
      <c r="R67" s="11"/>
      <c r="S67" s="11"/>
      <c r="T67" s="11"/>
    </row>
    <row r="68" spans="1:20" x14ac:dyDescent="0.15">
      <c r="A68" s="5"/>
      <c r="B68" s="383" t="s">
        <v>74</v>
      </c>
      <c r="C68" s="383"/>
      <c r="D68" s="383"/>
      <c r="E68" s="383"/>
      <c r="F68" s="5"/>
      <c r="G68" s="384" t="s">
        <v>75</v>
      </c>
      <c r="H68" s="384"/>
      <c r="I68" s="384"/>
      <c r="J68" s="384"/>
      <c r="K68" s="5"/>
      <c r="L68" s="385" t="s">
        <v>76</v>
      </c>
      <c r="M68" s="385"/>
      <c r="N68" s="385"/>
      <c r="O68" s="385"/>
      <c r="P68" s="5"/>
      <c r="Q68" s="386" t="s">
        <v>77</v>
      </c>
      <c r="R68" s="386"/>
      <c r="S68" s="386"/>
      <c r="T68" s="386"/>
    </row>
    <row r="69" spans="1:20" ht="42" x14ac:dyDescent="0.15">
      <c r="A69" s="7"/>
      <c r="B69" s="23" t="s">
        <v>83</v>
      </c>
      <c r="C69" s="23" t="s">
        <v>80</v>
      </c>
      <c r="D69" s="23" t="s">
        <v>81</v>
      </c>
      <c r="E69" s="23" t="s">
        <v>82</v>
      </c>
      <c r="F69" s="7"/>
      <c r="G69" s="24" t="s">
        <v>83</v>
      </c>
      <c r="H69" s="24" t="s">
        <v>80</v>
      </c>
      <c r="I69" s="24" t="s">
        <v>81</v>
      </c>
      <c r="J69" s="24" t="s">
        <v>82</v>
      </c>
      <c r="K69" s="7"/>
      <c r="L69" s="25" t="s">
        <v>83</v>
      </c>
      <c r="M69" s="25" t="s">
        <v>80</v>
      </c>
      <c r="N69" s="25" t="s">
        <v>81</v>
      </c>
      <c r="O69" s="25" t="s">
        <v>82</v>
      </c>
      <c r="P69" s="7"/>
      <c r="Q69" s="26" t="s">
        <v>83</v>
      </c>
      <c r="R69" s="26" t="s">
        <v>80</v>
      </c>
      <c r="S69" s="26" t="s">
        <v>81</v>
      </c>
      <c r="T69" s="26" t="s">
        <v>82</v>
      </c>
    </row>
    <row r="70" spans="1:20" x14ac:dyDescent="0.15">
      <c r="B70" s="16">
        <f t="shared" ref="B70:B75" si="60">B71-0.025</f>
        <v>0.49999999999999989</v>
      </c>
      <c r="C70" s="17">
        <f>(((B70*$B$67)-$B$66+$C$66)/$C$67)*2000</f>
        <v>282.98281300133675</v>
      </c>
      <c r="D70" s="16">
        <f>(((B70*$B$67)-$B$66+$D$66)/$D$67)</f>
        <v>2.7895734181149727</v>
      </c>
      <c r="E70" s="16">
        <f>(((B70*$B$67)-$B$66+$E$66)/$E$67)</f>
        <v>4.3693760492424207</v>
      </c>
      <c r="G70" s="18">
        <f>(((H70*$C$67/2000)-$C$66+$B$66)/$B$67)</f>
        <v>0.60657229053030326</v>
      </c>
      <c r="H70" s="19">
        <f t="shared" ref="H70:H75" si="61">H71-10</f>
        <v>330</v>
      </c>
      <c r="I70" s="18">
        <f>(((H70*$C$67/2000)-$C$66+$D$66)/$D$67)</f>
        <v>3.7299171580882371</v>
      </c>
      <c r="J70" s="18">
        <f>(((H70*$C$67/2000)-$C$66+$E$66)/$E$67)</f>
        <v>7.0336833125000036</v>
      </c>
      <c r="L70" s="12">
        <f>(((N70*$D$67)-$D$66+$B$66)/$B$67)</f>
        <v>0.60884834594696946</v>
      </c>
      <c r="M70" s="13">
        <f>(((N70*$D$67)-$D$66+$C$66)/$C$67)*2000</f>
        <v>331.00414209558807</v>
      </c>
      <c r="N70" s="12">
        <f t="shared" ref="N70:N75" si="62">N71-0.15</f>
        <v>3.7499999999999982</v>
      </c>
      <c r="O70" s="12">
        <f>(((N70*$D$67)-$D$66+$E$66)/$E$67)</f>
        <v>7.0905846979166594</v>
      </c>
      <c r="Q70" s="8">
        <f>(((T70*$E$67)-$E$66+$B$66)/$B$67)</f>
        <v>0.6072249580303033</v>
      </c>
      <c r="R70" s="9">
        <f>(((T70*$E$67)-$E$66+$C$66)/$C$67)*2000</f>
        <v>330.28794154411764</v>
      </c>
      <c r="S70" s="8">
        <f>(((T70*$E$67)-$E$66+$D$66)/$D$67)</f>
        <v>3.7356759889705899</v>
      </c>
      <c r="T70" s="8">
        <f t="shared" ref="T70:T75" si="63">T71-0.35</f>
        <v>7.0500000000000025</v>
      </c>
    </row>
    <row r="71" spans="1:20" x14ac:dyDescent="0.15">
      <c r="B71" s="16">
        <f t="shared" si="60"/>
        <v>0.52499999999999991</v>
      </c>
      <c r="C71" s="17">
        <f t="shared" ref="C71:C84" si="64">(((B71*$B$67)-$B$66+$C$66)/$C$67)*2000</f>
        <v>294.01222476604266</v>
      </c>
      <c r="D71" s="16">
        <f t="shared" ref="D71:D84" si="65">(((B71*$B$67)-$B$66+$D$66)/$D$67)</f>
        <v>3.01016165340909</v>
      </c>
      <c r="E71" s="16">
        <f t="shared" ref="E71:E84" si="66">(((B71*$B$67)-$B$66+$E$66)/$E$67)</f>
        <v>4.9943760492424207</v>
      </c>
      <c r="G71" s="18">
        <f t="shared" ref="G71:G84" si="67">(((H71*$C$67/2000)-$C$66+$B$66)/$B$67)</f>
        <v>0.62923895719696987</v>
      </c>
      <c r="H71" s="19">
        <f t="shared" si="61"/>
        <v>340</v>
      </c>
      <c r="I71" s="18">
        <f t="shared" ref="I71:I84" si="68">(((H71*$C$67/2000)-$C$66+$D$66)/$D$67)</f>
        <v>3.9299171580882368</v>
      </c>
      <c r="J71" s="18">
        <f t="shared" ref="J71:J84" si="69">(((H71*$C$67/2000)-$C$66+$E$66)/$E$67)</f>
        <v>7.60034997916667</v>
      </c>
      <c r="L71" s="12">
        <f t="shared" ref="L71:L84" si="70">(((N71*$D$67)-$D$66+$B$66)/$B$67)</f>
        <v>0.62584834594696948</v>
      </c>
      <c r="M71" s="13">
        <f t="shared" ref="M71:M84" si="71">(((N71*$D$67)-$D$66+$C$66)/$C$67)*2000</f>
        <v>338.50414209558801</v>
      </c>
      <c r="N71" s="12">
        <f t="shared" si="62"/>
        <v>3.8999999999999981</v>
      </c>
      <c r="O71" s="12">
        <f t="shared" ref="O71:O84" si="72">(((N71*$D$67)-$D$66+$E$66)/$E$67)</f>
        <v>7.5155846979166601</v>
      </c>
      <c r="Q71" s="8">
        <f t="shared" ref="Q71:Q84" si="73">(((T71*$E$67)-$E$66+$B$66)/$B$67)</f>
        <v>0.6212249580303032</v>
      </c>
      <c r="R71" s="9">
        <f t="shared" ref="R71:R84" si="74">(((T71*$E$67)-$E$66+$C$66)/$C$67)*2000</f>
        <v>336.46441213235289</v>
      </c>
      <c r="S71" s="8">
        <f t="shared" ref="S71:S84" si="75">(((T71*$E$67)-$E$66+$D$66)/$D$67)</f>
        <v>3.8592054007352954</v>
      </c>
      <c r="T71" s="8">
        <f t="shared" si="63"/>
        <v>7.4000000000000021</v>
      </c>
    </row>
    <row r="72" spans="1:20" x14ac:dyDescent="0.15">
      <c r="B72" s="16">
        <f t="shared" si="60"/>
        <v>0.54999999999999993</v>
      </c>
      <c r="C72" s="17">
        <f t="shared" si="64"/>
        <v>305.04163653074852</v>
      </c>
      <c r="D72" s="16">
        <f t="shared" si="65"/>
        <v>3.2307498887032078</v>
      </c>
      <c r="E72" s="16">
        <f t="shared" si="66"/>
        <v>5.6193760492424207</v>
      </c>
      <c r="G72" s="18">
        <f t="shared" si="67"/>
        <v>0.6519056238636366</v>
      </c>
      <c r="H72" s="19">
        <f t="shared" si="61"/>
        <v>350</v>
      </c>
      <c r="I72" s="18">
        <f t="shared" si="68"/>
        <v>4.1299171580882374</v>
      </c>
      <c r="J72" s="18">
        <f t="shared" si="69"/>
        <v>8.1670166458333373</v>
      </c>
      <c r="L72" s="12">
        <f t="shared" si="70"/>
        <v>0.64284834594696949</v>
      </c>
      <c r="M72" s="13">
        <f t="shared" si="71"/>
        <v>346.00414209558801</v>
      </c>
      <c r="N72" s="12">
        <f t="shared" si="62"/>
        <v>4.049999999999998</v>
      </c>
      <c r="O72" s="12">
        <f t="shared" si="72"/>
        <v>7.9405846979166599</v>
      </c>
      <c r="Q72" s="8">
        <f t="shared" si="73"/>
        <v>0.63522495803030321</v>
      </c>
      <c r="R72" s="9">
        <f t="shared" si="74"/>
        <v>342.64088272058819</v>
      </c>
      <c r="S72" s="8">
        <f t="shared" si="75"/>
        <v>3.9827348125000013</v>
      </c>
      <c r="T72" s="8">
        <f t="shared" si="63"/>
        <v>7.7500000000000018</v>
      </c>
    </row>
    <row r="73" spans="1:20" x14ac:dyDescent="0.15">
      <c r="B73" s="16">
        <f t="shared" si="60"/>
        <v>0.57499999999999996</v>
      </c>
      <c r="C73" s="17">
        <f t="shared" si="64"/>
        <v>316.07104829545443</v>
      </c>
      <c r="D73" s="16">
        <f t="shared" si="65"/>
        <v>3.4513381239973255</v>
      </c>
      <c r="E73" s="16">
        <f t="shared" si="66"/>
        <v>6.2443760492424207</v>
      </c>
      <c r="G73" s="18">
        <f t="shared" si="67"/>
        <v>0.67457229053030321</v>
      </c>
      <c r="H73" s="19">
        <f t="shared" si="61"/>
        <v>360</v>
      </c>
      <c r="I73" s="18">
        <f t="shared" si="68"/>
        <v>4.3299171580882367</v>
      </c>
      <c r="J73" s="18">
        <f t="shared" si="69"/>
        <v>8.7336833125000037</v>
      </c>
      <c r="L73" s="12">
        <f t="shared" si="70"/>
        <v>0.65984834594696951</v>
      </c>
      <c r="M73" s="13">
        <f t="shared" si="71"/>
        <v>353.50414209558807</v>
      </c>
      <c r="N73" s="12">
        <f t="shared" si="62"/>
        <v>4.1999999999999984</v>
      </c>
      <c r="O73" s="12">
        <f t="shared" si="72"/>
        <v>8.3655846979166615</v>
      </c>
      <c r="Q73" s="8">
        <f t="shared" si="73"/>
        <v>0.64922495803030311</v>
      </c>
      <c r="R73" s="9">
        <f t="shared" si="74"/>
        <v>348.81735330882344</v>
      </c>
      <c r="S73" s="8">
        <f t="shared" si="75"/>
        <v>4.1062642242647067</v>
      </c>
      <c r="T73" s="8">
        <f t="shared" si="63"/>
        <v>8.1000000000000014</v>
      </c>
    </row>
    <row r="74" spans="1:20" x14ac:dyDescent="0.15">
      <c r="B74" s="16">
        <f t="shared" si="60"/>
        <v>0.6</v>
      </c>
      <c r="C74" s="17">
        <f t="shared" si="64"/>
        <v>327.10046006016034</v>
      </c>
      <c r="D74" s="16">
        <f t="shared" si="65"/>
        <v>3.6719263592914437</v>
      </c>
      <c r="E74" s="16">
        <f t="shared" si="66"/>
        <v>6.8693760492424225</v>
      </c>
      <c r="G74" s="18">
        <f t="shared" si="67"/>
        <v>0.69723895719696993</v>
      </c>
      <c r="H74" s="19">
        <f t="shared" si="61"/>
        <v>370</v>
      </c>
      <c r="I74" s="18">
        <f t="shared" si="68"/>
        <v>4.5299171580882369</v>
      </c>
      <c r="J74" s="18">
        <f t="shared" si="69"/>
        <v>9.3003499791666702</v>
      </c>
      <c r="L74" s="12">
        <f t="shared" si="70"/>
        <v>0.67684834594696952</v>
      </c>
      <c r="M74" s="13">
        <f t="shared" si="71"/>
        <v>361.00414209558807</v>
      </c>
      <c r="N74" s="12">
        <f t="shared" si="62"/>
        <v>4.3499999999999988</v>
      </c>
      <c r="O74" s="12">
        <f t="shared" si="72"/>
        <v>8.7905846979166622</v>
      </c>
      <c r="Q74" s="8">
        <f t="shared" si="73"/>
        <v>0.66322495803030312</v>
      </c>
      <c r="R74" s="9">
        <f t="shared" si="74"/>
        <v>354.99382389705875</v>
      </c>
      <c r="S74" s="8">
        <f t="shared" si="75"/>
        <v>4.2297936360294122</v>
      </c>
      <c r="T74" s="8">
        <f t="shared" si="63"/>
        <v>8.4500000000000011</v>
      </c>
    </row>
    <row r="75" spans="1:20" x14ac:dyDescent="0.15">
      <c r="B75" s="16">
        <f t="shared" si="60"/>
        <v>0.625</v>
      </c>
      <c r="C75" s="17">
        <f t="shared" si="64"/>
        <v>338.1298718248662</v>
      </c>
      <c r="D75" s="16">
        <f t="shared" si="65"/>
        <v>3.8925145945855615</v>
      </c>
      <c r="E75" s="16">
        <f t="shared" si="66"/>
        <v>7.4943760492424225</v>
      </c>
      <c r="G75" s="18">
        <f t="shared" si="67"/>
        <v>0.71990562386363655</v>
      </c>
      <c r="H75" s="19">
        <f t="shared" si="61"/>
        <v>380</v>
      </c>
      <c r="I75" s="18">
        <f t="shared" si="68"/>
        <v>4.7299171580882371</v>
      </c>
      <c r="J75" s="18">
        <f t="shared" si="69"/>
        <v>9.8670166458333366</v>
      </c>
      <c r="L75" s="12">
        <f t="shared" si="70"/>
        <v>0.69384834594696954</v>
      </c>
      <c r="M75" s="13">
        <f t="shared" si="71"/>
        <v>368.50414209558812</v>
      </c>
      <c r="N75" s="12">
        <f t="shared" si="62"/>
        <v>4.4999999999999991</v>
      </c>
      <c r="O75" s="12">
        <f t="shared" si="72"/>
        <v>9.2155846979166629</v>
      </c>
      <c r="Q75" s="8">
        <f t="shared" si="73"/>
        <v>0.67722495803030314</v>
      </c>
      <c r="R75" s="9">
        <f t="shared" si="74"/>
        <v>361.17029448529405</v>
      </c>
      <c r="S75" s="8">
        <f t="shared" si="75"/>
        <v>4.3533230477941185</v>
      </c>
      <c r="T75" s="8">
        <f t="shared" si="63"/>
        <v>8.8000000000000007</v>
      </c>
    </row>
    <row r="76" spans="1:20" ht="14" thickBot="1" x14ac:dyDescent="0.2">
      <c r="B76" s="16">
        <f>B77-0.025</f>
        <v>0.65</v>
      </c>
      <c r="C76" s="17">
        <f t="shared" si="64"/>
        <v>349.15928358957211</v>
      </c>
      <c r="D76" s="16">
        <f t="shared" si="65"/>
        <v>4.1131028298796792</v>
      </c>
      <c r="E76" s="16">
        <f t="shared" si="66"/>
        <v>8.1193760492424225</v>
      </c>
      <c r="G76" s="18">
        <f t="shared" si="67"/>
        <v>0.74257229053030327</v>
      </c>
      <c r="H76" s="19">
        <f>H77-10</f>
        <v>390</v>
      </c>
      <c r="I76" s="18">
        <f t="shared" si="68"/>
        <v>4.9299171580882373</v>
      </c>
      <c r="J76" s="18">
        <f t="shared" si="69"/>
        <v>10.433683312500003</v>
      </c>
      <c r="L76" s="12">
        <f t="shared" si="70"/>
        <v>0.71084834594696955</v>
      </c>
      <c r="M76" s="13">
        <f t="shared" si="71"/>
        <v>376.00414209558812</v>
      </c>
      <c r="N76" s="12">
        <f>N77-0.15</f>
        <v>4.6499999999999995</v>
      </c>
      <c r="O76" s="12">
        <f t="shared" si="72"/>
        <v>9.6405846979166636</v>
      </c>
      <c r="Q76" s="8">
        <f t="shared" si="73"/>
        <v>0.69122495803030304</v>
      </c>
      <c r="R76" s="9">
        <f t="shared" si="74"/>
        <v>367.34676507352935</v>
      </c>
      <c r="S76" s="8">
        <f t="shared" si="75"/>
        <v>4.4768524595588239</v>
      </c>
      <c r="T76" s="8">
        <f>T77-0.35</f>
        <v>9.15</v>
      </c>
    </row>
    <row r="77" spans="1:20" ht="14" thickBot="1" x14ac:dyDescent="0.2">
      <c r="B77" s="22">
        <f>Conventional!$B$8</f>
        <v>0.67500000000000004</v>
      </c>
      <c r="C77" s="17">
        <f t="shared" si="64"/>
        <v>360.18869535427808</v>
      </c>
      <c r="D77" s="16">
        <f t="shared" si="65"/>
        <v>4.333691065173797</v>
      </c>
      <c r="E77" s="16">
        <f t="shared" si="66"/>
        <v>8.7443760492424243</v>
      </c>
      <c r="G77" s="18">
        <f t="shared" si="67"/>
        <v>0.76523895719696988</v>
      </c>
      <c r="H77" s="20">
        <f>Conventional!$D$8</f>
        <v>400</v>
      </c>
      <c r="I77" s="18">
        <f t="shared" si="68"/>
        <v>5.1299171580882374</v>
      </c>
      <c r="J77" s="18">
        <f t="shared" si="69"/>
        <v>11.000349979166669</v>
      </c>
      <c r="L77" s="12">
        <f t="shared" si="70"/>
        <v>0.72784834594696968</v>
      </c>
      <c r="M77" s="13">
        <f t="shared" si="71"/>
        <v>383.50414209558812</v>
      </c>
      <c r="N77" s="14">
        <f>Conventional!$F$8</f>
        <v>4.8</v>
      </c>
      <c r="O77" s="12">
        <f t="shared" si="72"/>
        <v>10.065584697916666</v>
      </c>
      <c r="Q77" s="8">
        <f t="shared" si="73"/>
        <v>0.70522495803030305</v>
      </c>
      <c r="R77" s="9">
        <f t="shared" si="74"/>
        <v>373.52323566176466</v>
      </c>
      <c r="S77" s="8">
        <f t="shared" si="75"/>
        <v>4.6003818713235303</v>
      </c>
      <c r="T77" s="10">
        <f>Conventional!$H$8</f>
        <v>9.5</v>
      </c>
    </row>
    <row r="78" spans="1:20" x14ac:dyDescent="0.15">
      <c r="B78" s="16">
        <f>B77+0.025</f>
        <v>0.70000000000000007</v>
      </c>
      <c r="C78" s="17">
        <f t="shared" si="64"/>
        <v>371.21810711898382</v>
      </c>
      <c r="D78" s="16">
        <f t="shared" si="65"/>
        <v>4.5542793004679147</v>
      </c>
      <c r="E78" s="16">
        <f t="shared" si="66"/>
        <v>9.3693760492424225</v>
      </c>
      <c r="G78" s="18">
        <f t="shared" si="67"/>
        <v>0.78790562386363661</v>
      </c>
      <c r="H78" s="19">
        <f>H77+10</f>
        <v>410</v>
      </c>
      <c r="I78" s="18">
        <f t="shared" si="68"/>
        <v>5.3299171580882367</v>
      </c>
      <c r="J78" s="18">
        <f t="shared" si="69"/>
        <v>11.567016645833338</v>
      </c>
      <c r="L78" s="12">
        <f t="shared" si="70"/>
        <v>0.74484834594696969</v>
      </c>
      <c r="M78" s="13">
        <f t="shared" si="71"/>
        <v>391.00414209558812</v>
      </c>
      <c r="N78" s="12">
        <f>N77+0.15</f>
        <v>4.95</v>
      </c>
      <c r="O78" s="12">
        <f t="shared" si="72"/>
        <v>10.490584697916665</v>
      </c>
      <c r="Q78" s="8">
        <f t="shared" si="73"/>
        <v>0.71922495803030306</v>
      </c>
      <c r="R78" s="9">
        <f t="shared" si="74"/>
        <v>379.69970624999996</v>
      </c>
      <c r="S78" s="8">
        <f t="shared" si="75"/>
        <v>4.7239112830882357</v>
      </c>
      <c r="T78" s="8">
        <f>T77+0.35</f>
        <v>9.85</v>
      </c>
    </row>
    <row r="79" spans="1:20" x14ac:dyDescent="0.15">
      <c r="B79" s="16">
        <f t="shared" ref="B79:B84" si="76">B78+0.025</f>
        <v>0.72500000000000009</v>
      </c>
      <c r="C79" s="17">
        <f t="shared" si="64"/>
        <v>382.24751888368979</v>
      </c>
      <c r="D79" s="16">
        <f t="shared" si="65"/>
        <v>4.7748675357620334</v>
      </c>
      <c r="E79" s="16">
        <f t="shared" si="66"/>
        <v>9.9943760492424261</v>
      </c>
      <c r="G79" s="18">
        <f t="shared" si="67"/>
        <v>0.81057229053030322</v>
      </c>
      <c r="H79" s="19">
        <f t="shared" ref="H79:H84" si="77">H78+10</f>
        <v>420</v>
      </c>
      <c r="I79" s="18">
        <f t="shared" si="68"/>
        <v>5.5299171580882369</v>
      </c>
      <c r="J79" s="18">
        <f t="shared" si="69"/>
        <v>12.133683312500004</v>
      </c>
      <c r="L79" s="12">
        <f t="shared" si="70"/>
        <v>0.76184834594696982</v>
      </c>
      <c r="M79" s="13">
        <f t="shared" si="71"/>
        <v>398.50414209558818</v>
      </c>
      <c r="N79" s="12">
        <f t="shared" ref="N79:N84" si="78">N78+0.15</f>
        <v>5.1000000000000005</v>
      </c>
      <c r="O79" s="12">
        <f t="shared" si="72"/>
        <v>10.915584697916668</v>
      </c>
      <c r="Q79" s="8">
        <f t="shared" si="73"/>
        <v>0.73322495803030308</v>
      </c>
      <c r="R79" s="9">
        <f t="shared" si="74"/>
        <v>385.87617683823521</v>
      </c>
      <c r="S79" s="8">
        <f t="shared" si="75"/>
        <v>4.847440694852942</v>
      </c>
      <c r="T79" s="8">
        <f t="shared" ref="T79:T84" si="79">T78+0.35</f>
        <v>10.199999999999999</v>
      </c>
    </row>
    <row r="80" spans="1:20" x14ac:dyDescent="0.15">
      <c r="B80" s="16">
        <f t="shared" si="76"/>
        <v>0.75000000000000011</v>
      </c>
      <c r="C80" s="17">
        <f t="shared" si="64"/>
        <v>393.27693064839571</v>
      </c>
      <c r="D80" s="16">
        <f t="shared" si="65"/>
        <v>4.9954557710561511</v>
      </c>
      <c r="E80" s="16">
        <f t="shared" si="66"/>
        <v>10.619376049242426</v>
      </c>
      <c r="G80" s="18">
        <f t="shared" si="67"/>
        <v>0.83323895719696994</v>
      </c>
      <c r="H80" s="19">
        <f t="shared" si="77"/>
        <v>430</v>
      </c>
      <c r="I80" s="18">
        <f t="shared" si="68"/>
        <v>5.7299171580882371</v>
      </c>
      <c r="J80" s="18">
        <f t="shared" si="69"/>
        <v>12.700349979166671</v>
      </c>
      <c r="L80" s="12">
        <f t="shared" si="70"/>
        <v>0.77884834594696983</v>
      </c>
      <c r="M80" s="13">
        <f t="shared" si="71"/>
        <v>406.00414209558818</v>
      </c>
      <c r="N80" s="12">
        <f t="shared" si="78"/>
        <v>5.2500000000000009</v>
      </c>
      <c r="O80" s="12">
        <f t="shared" si="72"/>
        <v>11.340584697916666</v>
      </c>
      <c r="Q80" s="8">
        <f t="shared" si="73"/>
        <v>0.74722495803030298</v>
      </c>
      <c r="R80" s="9">
        <f t="shared" si="74"/>
        <v>392.05264742647051</v>
      </c>
      <c r="S80" s="8">
        <f t="shared" si="75"/>
        <v>4.9709701066176466</v>
      </c>
      <c r="T80" s="8">
        <f t="shared" si="79"/>
        <v>10.549999999999999</v>
      </c>
    </row>
    <row r="81" spans="1:20" x14ac:dyDescent="0.15">
      <c r="B81" s="16">
        <f t="shared" si="76"/>
        <v>0.77500000000000013</v>
      </c>
      <c r="C81" s="17">
        <f t="shared" si="64"/>
        <v>404.30634241310162</v>
      </c>
      <c r="D81" s="16">
        <f t="shared" si="65"/>
        <v>5.2160440063502689</v>
      </c>
      <c r="E81" s="16">
        <f t="shared" si="66"/>
        <v>11.244376049242426</v>
      </c>
      <c r="G81" s="18">
        <f t="shared" si="67"/>
        <v>0.85590562386363656</v>
      </c>
      <c r="H81" s="19">
        <f t="shared" si="77"/>
        <v>440</v>
      </c>
      <c r="I81" s="18">
        <f t="shared" si="68"/>
        <v>5.9299171580882373</v>
      </c>
      <c r="J81" s="18">
        <f t="shared" si="69"/>
        <v>13.267016645833337</v>
      </c>
      <c r="L81" s="12">
        <f t="shared" si="70"/>
        <v>0.79584834594696985</v>
      </c>
      <c r="M81" s="13">
        <f t="shared" si="71"/>
        <v>413.50414209558824</v>
      </c>
      <c r="N81" s="12">
        <f t="shared" si="78"/>
        <v>5.4000000000000012</v>
      </c>
      <c r="O81" s="12">
        <f t="shared" si="72"/>
        <v>11.765584697916669</v>
      </c>
      <c r="Q81" s="8">
        <f t="shared" si="73"/>
        <v>0.76122495803030299</v>
      </c>
      <c r="R81" s="9">
        <f t="shared" si="74"/>
        <v>398.22911801470582</v>
      </c>
      <c r="S81" s="8">
        <f t="shared" si="75"/>
        <v>5.0944995183823529</v>
      </c>
      <c r="T81" s="8">
        <f t="shared" si="79"/>
        <v>10.899999999999999</v>
      </c>
    </row>
    <row r="82" spans="1:20" x14ac:dyDescent="0.15">
      <c r="B82" s="16">
        <f t="shared" si="76"/>
        <v>0.80000000000000016</v>
      </c>
      <c r="C82" s="17">
        <f t="shared" si="64"/>
        <v>415.33575417780742</v>
      </c>
      <c r="D82" s="16">
        <f t="shared" si="65"/>
        <v>5.4366322416443866</v>
      </c>
      <c r="E82" s="16">
        <f t="shared" si="66"/>
        <v>11.869376049242426</v>
      </c>
      <c r="G82" s="18">
        <f t="shared" si="67"/>
        <v>0.87857229053030328</v>
      </c>
      <c r="H82" s="19">
        <f t="shared" si="77"/>
        <v>450</v>
      </c>
      <c r="I82" s="18">
        <f t="shared" si="68"/>
        <v>6.1299171580882374</v>
      </c>
      <c r="J82" s="18">
        <f t="shared" si="69"/>
        <v>13.833683312500003</v>
      </c>
      <c r="L82" s="12">
        <f t="shared" si="70"/>
        <v>0.81284834594696986</v>
      </c>
      <c r="M82" s="13">
        <f t="shared" si="71"/>
        <v>421.00414209558824</v>
      </c>
      <c r="N82" s="12">
        <f t="shared" si="78"/>
        <v>5.5500000000000016</v>
      </c>
      <c r="O82" s="12">
        <f t="shared" si="72"/>
        <v>12.19058469791667</v>
      </c>
      <c r="Q82" s="8">
        <f t="shared" si="73"/>
        <v>0.77522495803030289</v>
      </c>
      <c r="R82" s="9">
        <f t="shared" si="74"/>
        <v>404.40558860294112</v>
      </c>
      <c r="S82" s="8">
        <f t="shared" si="75"/>
        <v>5.2180289301470584</v>
      </c>
      <c r="T82" s="8">
        <f t="shared" si="79"/>
        <v>11.249999999999998</v>
      </c>
    </row>
    <row r="83" spans="1:20" x14ac:dyDescent="0.15">
      <c r="B83" s="16">
        <f t="shared" si="76"/>
        <v>0.82500000000000018</v>
      </c>
      <c r="C83" s="17">
        <f t="shared" si="64"/>
        <v>426.36516594251333</v>
      </c>
      <c r="D83" s="16">
        <f t="shared" si="65"/>
        <v>5.6572204769385035</v>
      </c>
      <c r="E83" s="16">
        <f t="shared" si="66"/>
        <v>12.494376049242426</v>
      </c>
      <c r="G83" s="18">
        <f t="shared" si="67"/>
        <v>0.90123895719696989</v>
      </c>
      <c r="H83" s="19">
        <f t="shared" si="77"/>
        <v>460</v>
      </c>
      <c r="I83" s="18">
        <f t="shared" si="68"/>
        <v>6.3299171580882367</v>
      </c>
      <c r="J83" s="18">
        <f t="shared" si="69"/>
        <v>14.40034997916667</v>
      </c>
      <c r="L83" s="12">
        <f t="shared" si="70"/>
        <v>0.82984834594696988</v>
      </c>
      <c r="M83" s="13">
        <f t="shared" si="71"/>
        <v>428.50414209558829</v>
      </c>
      <c r="N83" s="12">
        <f t="shared" si="78"/>
        <v>5.700000000000002</v>
      </c>
      <c r="O83" s="12">
        <f t="shared" si="72"/>
        <v>12.61558469791667</v>
      </c>
      <c r="Q83" s="8">
        <f t="shared" si="73"/>
        <v>0.7892249580303029</v>
      </c>
      <c r="R83" s="9">
        <f t="shared" si="74"/>
        <v>410.58205919117643</v>
      </c>
      <c r="S83" s="8">
        <f t="shared" si="75"/>
        <v>5.3415583419117647</v>
      </c>
      <c r="T83" s="8">
        <f t="shared" si="79"/>
        <v>11.599999999999998</v>
      </c>
    </row>
    <row r="84" spans="1:20" x14ac:dyDescent="0.15">
      <c r="A84" s="40"/>
      <c r="B84" s="41">
        <f t="shared" si="76"/>
        <v>0.8500000000000002</v>
      </c>
      <c r="C84" s="42">
        <f t="shared" si="64"/>
        <v>437.39457770721924</v>
      </c>
      <c r="D84" s="41">
        <f t="shared" si="65"/>
        <v>5.8778087122326212</v>
      </c>
      <c r="E84" s="41">
        <f t="shared" si="66"/>
        <v>13.119376049242426</v>
      </c>
      <c r="F84" s="40"/>
      <c r="G84" s="43">
        <f t="shared" si="67"/>
        <v>0.92390562386363662</v>
      </c>
      <c r="H84" s="44">
        <f t="shared" si="77"/>
        <v>470</v>
      </c>
      <c r="I84" s="43">
        <f t="shared" si="68"/>
        <v>6.5299171580882369</v>
      </c>
      <c r="J84" s="43">
        <f t="shared" si="69"/>
        <v>14.967016645833336</v>
      </c>
      <c r="K84" s="40"/>
      <c r="L84" s="45">
        <f t="shared" si="70"/>
        <v>0.84684834594696989</v>
      </c>
      <c r="M84" s="46">
        <f t="shared" si="71"/>
        <v>436.00414209558829</v>
      </c>
      <c r="N84" s="45">
        <f t="shared" si="78"/>
        <v>5.8500000000000023</v>
      </c>
      <c r="O84" s="45">
        <f t="shared" si="72"/>
        <v>13.040584697916671</v>
      </c>
      <c r="P84" s="40"/>
      <c r="Q84" s="47">
        <f t="shared" si="73"/>
        <v>0.80322495803030292</v>
      </c>
      <c r="R84" s="48">
        <f t="shared" si="74"/>
        <v>416.75852977941167</v>
      </c>
      <c r="S84" s="47">
        <f t="shared" si="75"/>
        <v>5.4650877536764702</v>
      </c>
      <c r="T84" s="47">
        <f t="shared" si="79"/>
        <v>11.949999999999998</v>
      </c>
    </row>
  </sheetData>
  <mergeCells count="18">
    <mergeCell ref="B68:E68"/>
    <mergeCell ref="G68:J68"/>
    <mergeCell ref="L68:O68"/>
    <mergeCell ref="Q68:T68"/>
    <mergeCell ref="B5:E5"/>
    <mergeCell ref="A1:T1"/>
    <mergeCell ref="B47:E47"/>
    <mergeCell ref="G47:J47"/>
    <mergeCell ref="L47:O47"/>
    <mergeCell ref="Q47:T47"/>
    <mergeCell ref="A43:T43"/>
    <mergeCell ref="G5:J5"/>
    <mergeCell ref="L5:O5"/>
    <mergeCell ref="Q5:T5"/>
    <mergeCell ref="B26:E26"/>
    <mergeCell ref="G26:J26"/>
    <mergeCell ref="L26:O26"/>
    <mergeCell ref="Q26:T26"/>
  </mergeCells>
  <pageMargins left="0.7" right="0.7" top="0.75" bottom="0.75" header="0.3" footer="0.3"/>
  <pageSetup scale="85" orientation="landscape" horizontalDpi="300" verticalDpi="300"/>
  <rowBreaks count="1" manualBreakCount="1">
    <brk id="42" max="16383" man="1"/>
  </rowBreaks>
  <ignoredErrors>
    <ignoredError sqref="B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AH218"/>
  <sheetViews>
    <sheetView zoomScaleNormal="100" zoomScalePageLayoutView="170" workbookViewId="0">
      <selection activeCell="A3" sqref="A3"/>
    </sheetView>
  </sheetViews>
  <sheetFormatPr baseColWidth="10" defaultColWidth="8.83203125" defaultRowHeight="14" x14ac:dyDescent="0.2"/>
  <cols>
    <col min="1" max="1" width="28.33203125" style="87" customWidth="1"/>
    <col min="2" max="2" width="7.5" style="91" bestFit="1" customWidth="1"/>
    <col min="3" max="3" width="3" style="91" bestFit="1" customWidth="1"/>
    <col min="4" max="4" width="5.5" style="91" bestFit="1" customWidth="1"/>
    <col min="5" max="5" width="4" style="91" bestFit="1" customWidth="1"/>
    <col min="6" max="6" width="5.5" style="91" bestFit="1" customWidth="1"/>
    <col min="7" max="7" width="3.5" style="91" bestFit="1" customWidth="1"/>
    <col min="8" max="8" width="5.83203125" style="91" bestFit="1" customWidth="1"/>
    <col min="9" max="9" width="3.5" style="91" bestFit="1" customWidth="1"/>
    <col min="10" max="10" width="5.5" style="91" bestFit="1" customWidth="1"/>
    <col min="11" max="11" width="3.5" style="91" bestFit="1" customWidth="1"/>
    <col min="12" max="12" width="5.5" style="91" bestFit="1" customWidth="1"/>
    <col min="13" max="13" width="3" style="91" bestFit="1" customWidth="1"/>
    <col min="14" max="14" width="5.5" style="91" bestFit="1" customWidth="1"/>
    <col min="15" max="15" width="4" style="91" bestFit="1" customWidth="1"/>
    <col min="16" max="16" width="5.5" style="91" bestFit="1" customWidth="1"/>
    <col min="17" max="17" width="3.5" style="91" bestFit="1" customWidth="1"/>
    <col min="18" max="18" width="5.83203125" style="91" bestFit="1" customWidth="1"/>
    <col min="19" max="19" width="3.5" style="91" bestFit="1" customWidth="1"/>
    <col min="20" max="20" width="5.5" style="91" bestFit="1" customWidth="1"/>
    <col min="21" max="21" width="3.5" style="91" bestFit="1" customWidth="1"/>
    <col min="22" max="22" width="8.83203125" style="91"/>
    <col min="23" max="23" width="9.1640625" style="90" bestFit="1" customWidth="1"/>
    <col min="24" max="24" width="7.5" style="90" bestFit="1" customWidth="1"/>
    <col min="25" max="25" width="6.1640625" style="90" bestFit="1" customWidth="1"/>
    <col min="26" max="26" width="7.5" style="90" bestFit="1" customWidth="1"/>
    <col min="27" max="27" width="7.1640625" style="90" bestFit="1" customWidth="1"/>
    <col min="28" max="28" width="6.6640625" style="90" bestFit="1" customWidth="1"/>
    <col min="29" max="29" width="9.1640625" style="90" bestFit="1" customWidth="1"/>
    <col min="30" max="30" width="6.6640625" style="90" bestFit="1" customWidth="1"/>
    <col min="31" max="31" width="7.1640625" style="90" bestFit="1" customWidth="1"/>
    <col min="32" max="32" width="7.5" style="90" bestFit="1" customWidth="1"/>
    <col min="33" max="33" width="8.1640625" style="90" bestFit="1" customWidth="1"/>
    <col min="34" max="34" width="7.5" style="90" bestFit="1" customWidth="1"/>
    <col min="35" max="35" width="6" style="91" bestFit="1" customWidth="1"/>
    <col min="36" max="37" width="2" style="91" bestFit="1" customWidth="1"/>
    <col min="38" max="38" width="12" style="91" bestFit="1" customWidth="1"/>
    <col min="39" max="39" width="2" style="91" bestFit="1" customWidth="1"/>
    <col min="40" max="40" width="7" style="91" bestFit="1" customWidth="1"/>
    <col min="41" max="41" width="2" style="91" bestFit="1" customWidth="1"/>
    <col min="42" max="42" width="9" style="91" bestFit="1" customWidth="1"/>
    <col min="43" max="16384" width="8.83203125" style="91"/>
  </cols>
  <sheetData>
    <row r="1" spans="1:34" s="87" customFormat="1" ht="12" x14ac:dyDescent="0.15">
      <c r="A1" s="85" t="str">
        <f>Conventional!A1</f>
        <v>Estimate of 2026 Relative Row Crop Costs and Net Returns</v>
      </c>
      <c r="B1" s="85"/>
      <c r="C1" s="85"/>
      <c r="D1" s="85"/>
      <c r="E1" s="85"/>
      <c r="F1" s="85"/>
      <c r="G1" s="85"/>
      <c r="H1" s="85"/>
      <c r="I1" s="85"/>
      <c r="J1" s="419" t="s">
        <v>192</v>
      </c>
      <c r="K1" s="419"/>
      <c r="L1" s="419"/>
      <c r="M1" s="419"/>
      <c r="N1" s="419"/>
      <c r="O1" s="419"/>
      <c r="P1" s="419"/>
      <c r="Q1" s="419"/>
      <c r="R1" s="419"/>
      <c r="S1" s="419"/>
      <c r="T1" s="419"/>
      <c r="U1" s="419"/>
      <c r="V1" s="86"/>
      <c r="W1" s="86"/>
      <c r="X1" s="86"/>
      <c r="Y1" s="86"/>
      <c r="Z1" s="86"/>
      <c r="AA1" s="86"/>
      <c r="AB1" s="86"/>
      <c r="AC1" s="86"/>
      <c r="AD1" s="86"/>
      <c r="AE1" s="86"/>
      <c r="AF1" s="86"/>
      <c r="AG1" s="86"/>
      <c r="AH1" s="86"/>
    </row>
    <row r="2" spans="1:34" s="290" customFormat="1" ht="11" x14ac:dyDescent="0.15">
      <c r="A2" s="288" t="str">
        <f>Conventional!A2</f>
        <v>By A.R. Smith, Y. Liu, and G.A. Hancock, UGA Extension Economists, Department of Agricultural &amp; Applied Economics</v>
      </c>
      <c r="B2" s="288"/>
      <c r="C2" s="288"/>
      <c r="D2" s="288"/>
      <c r="E2" s="288"/>
      <c r="F2" s="288"/>
      <c r="G2" s="288"/>
      <c r="H2" s="288"/>
      <c r="I2" s="288"/>
      <c r="J2" s="420"/>
      <c r="K2" s="420"/>
      <c r="L2" s="420"/>
      <c r="M2" s="420"/>
      <c r="N2" s="420"/>
      <c r="O2" s="420"/>
      <c r="P2" s="420"/>
      <c r="Q2" s="420"/>
      <c r="R2" s="420"/>
      <c r="S2" s="420"/>
      <c r="T2" s="420"/>
      <c r="U2" s="420"/>
      <c r="V2" s="289"/>
      <c r="W2" s="289"/>
      <c r="X2" s="289"/>
      <c r="Y2" s="289"/>
      <c r="Z2" s="289"/>
      <c r="AA2" s="289"/>
      <c r="AB2" s="289"/>
      <c r="AC2" s="289"/>
      <c r="AD2" s="289"/>
      <c r="AE2" s="289"/>
      <c r="AF2" s="289"/>
      <c r="AG2" s="289"/>
      <c r="AH2" s="289"/>
    </row>
    <row r="3" spans="1:34" x14ac:dyDescent="0.2">
      <c r="A3" s="276" t="str">
        <f>Conventional!A3</f>
        <v>January 2026</v>
      </c>
      <c r="B3" s="88"/>
      <c r="C3" s="88"/>
      <c r="D3" s="88"/>
      <c r="E3" s="88"/>
      <c r="F3" s="88"/>
      <c r="G3" s="88"/>
      <c r="H3" s="88"/>
      <c r="I3" s="88"/>
      <c r="J3" s="88"/>
      <c r="K3" s="88"/>
      <c r="L3" s="88"/>
      <c r="M3" s="88"/>
      <c r="N3" s="88"/>
      <c r="O3" s="88"/>
      <c r="P3" s="88"/>
      <c r="Q3" s="88"/>
      <c r="R3" s="88"/>
      <c r="S3" s="88"/>
      <c r="T3" s="88"/>
      <c r="U3" s="89"/>
      <c r="V3" s="90"/>
    </row>
    <row r="4" spans="1:34" x14ac:dyDescent="0.2">
      <c r="A4" s="92" t="s">
        <v>26</v>
      </c>
      <c r="B4" s="379" t="s">
        <v>0</v>
      </c>
      <c r="C4" s="380"/>
      <c r="D4" s="380"/>
      <c r="E4" s="380"/>
      <c r="F4" s="380"/>
      <c r="G4" s="380"/>
      <c r="H4" s="380"/>
      <c r="I4" s="380"/>
      <c r="J4" s="380"/>
      <c r="K4" s="93"/>
      <c r="L4" s="371" t="s">
        <v>1</v>
      </c>
      <c r="M4" s="371"/>
      <c r="N4" s="371"/>
      <c r="O4" s="371"/>
      <c r="P4" s="371"/>
      <c r="Q4" s="371"/>
      <c r="R4" s="371"/>
      <c r="S4" s="371"/>
      <c r="T4" s="371"/>
      <c r="U4" s="94"/>
      <c r="V4" s="90"/>
    </row>
    <row r="5" spans="1:34" x14ac:dyDescent="0.2">
      <c r="A5" s="95"/>
      <c r="B5" s="96"/>
      <c r="C5" s="97"/>
      <c r="D5" s="270"/>
      <c r="E5" s="271"/>
      <c r="F5" s="238"/>
      <c r="G5" s="227"/>
      <c r="H5" s="215"/>
      <c r="I5" s="227"/>
      <c r="J5" s="367" t="s">
        <v>23</v>
      </c>
      <c r="K5" s="412"/>
      <c r="L5" s="97"/>
      <c r="M5" s="97"/>
      <c r="N5" s="274"/>
      <c r="O5" s="275"/>
      <c r="P5" s="238"/>
      <c r="Q5" s="227"/>
      <c r="R5" s="215"/>
      <c r="S5" s="227"/>
      <c r="T5" s="414" t="s">
        <v>23</v>
      </c>
      <c r="U5" s="415"/>
      <c r="V5" s="90"/>
    </row>
    <row r="6" spans="1:34" x14ac:dyDescent="0.2">
      <c r="A6" s="95"/>
      <c r="B6" s="373" t="s">
        <v>2</v>
      </c>
      <c r="C6" s="371"/>
      <c r="D6" s="409" t="s">
        <v>3</v>
      </c>
      <c r="E6" s="410"/>
      <c r="F6" s="376" t="s">
        <v>4</v>
      </c>
      <c r="G6" s="411"/>
      <c r="H6" s="371" t="s">
        <v>5</v>
      </c>
      <c r="I6" s="411"/>
      <c r="J6" s="371" t="s">
        <v>6</v>
      </c>
      <c r="K6" s="413"/>
      <c r="L6" s="373" t="s">
        <v>2</v>
      </c>
      <c r="M6" s="371"/>
      <c r="N6" s="409" t="s">
        <v>3</v>
      </c>
      <c r="O6" s="410"/>
      <c r="P6" s="376" t="s">
        <v>4</v>
      </c>
      <c r="Q6" s="411"/>
      <c r="R6" s="371" t="s">
        <v>5</v>
      </c>
      <c r="S6" s="411"/>
      <c r="T6" s="371" t="s">
        <v>6</v>
      </c>
      <c r="U6" s="372"/>
      <c r="V6" s="90"/>
    </row>
    <row r="7" spans="1:34" x14ac:dyDescent="0.2">
      <c r="A7" s="98" t="s">
        <v>154</v>
      </c>
      <c r="B7" s="268">
        <v>1200</v>
      </c>
      <c r="C7" s="266" t="s">
        <v>158</v>
      </c>
      <c r="D7" s="257">
        <f>'Peanut Price Calculator'!B10</f>
        <v>4700</v>
      </c>
      <c r="E7" s="272" t="s">
        <v>158</v>
      </c>
      <c r="F7" s="261">
        <v>200</v>
      </c>
      <c r="G7" s="262" t="s">
        <v>161</v>
      </c>
      <c r="H7" s="263">
        <v>60</v>
      </c>
      <c r="I7" s="262" t="s">
        <v>161</v>
      </c>
      <c r="J7" s="263">
        <v>100</v>
      </c>
      <c r="K7" s="265" t="s">
        <v>161</v>
      </c>
      <c r="L7" s="263">
        <v>750</v>
      </c>
      <c r="M7" s="266" t="s">
        <v>158</v>
      </c>
      <c r="N7" s="257">
        <f>'Peanut Price Calculator'!B21</f>
        <v>3400</v>
      </c>
      <c r="O7" s="272" t="s">
        <v>158</v>
      </c>
      <c r="P7" s="261">
        <v>85</v>
      </c>
      <c r="Q7" s="262" t="s">
        <v>161</v>
      </c>
      <c r="R7" s="263">
        <v>30</v>
      </c>
      <c r="S7" s="262" t="s">
        <v>161</v>
      </c>
      <c r="T7" s="263">
        <v>65</v>
      </c>
      <c r="U7" s="264" t="s">
        <v>161</v>
      </c>
      <c r="V7" s="90"/>
    </row>
    <row r="8" spans="1:34" ht="15" thickBot="1" x14ac:dyDescent="0.25">
      <c r="A8" s="99" t="s">
        <v>124</v>
      </c>
      <c r="B8" s="269">
        <f>Conventional!B8</f>
        <v>0.67500000000000004</v>
      </c>
      <c r="C8" s="255" t="s">
        <v>159</v>
      </c>
      <c r="D8" s="259">
        <f>'Peanut Price Calculator'!B17</f>
        <v>400</v>
      </c>
      <c r="E8" s="273" t="s">
        <v>160</v>
      </c>
      <c r="F8" s="269">
        <f>Conventional!F8</f>
        <v>4.8</v>
      </c>
      <c r="G8" s="249" t="s">
        <v>162</v>
      </c>
      <c r="H8" s="269">
        <f>Conventional!H8</f>
        <v>9.5</v>
      </c>
      <c r="I8" s="249" t="s">
        <v>162</v>
      </c>
      <c r="J8" s="269">
        <f>Conventional!J8</f>
        <v>4.7759999999999998</v>
      </c>
      <c r="K8" s="254" t="s">
        <v>162</v>
      </c>
      <c r="L8" s="253">
        <f>Conventional!B8</f>
        <v>0.67500000000000004</v>
      </c>
      <c r="M8" s="255" t="s">
        <v>159</v>
      </c>
      <c r="N8" s="259">
        <f>'Peanut Price Calculator'!B28</f>
        <v>400</v>
      </c>
      <c r="O8" s="273" t="s">
        <v>160</v>
      </c>
      <c r="P8" s="252">
        <f>Conventional!F8</f>
        <v>4.8</v>
      </c>
      <c r="Q8" s="249" t="s">
        <v>162</v>
      </c>
      <c r="R8" s="253">
        <f>Conventional!H8</f>
        <v>9.5</v>
      </c>
      <c r="S8" s="249" t="s">
        <v>162</v>
      </c>
      <c r="T8" s="253">
        <f>Conventional!J8</f>
        <v>4.7759999999999998</v>
      </c>
      <c r="U8" s="251" t="s">
        <v>162</v>
      </c>
      <c r="V8" s="90"/>
    </row>
    <row r="9" spans="1:34" x14ac:dyDescent="0.2">
      <c r="A9" s="100" t="s">
        <v>155</v>
      </c>
      <c r="B9" s="360">
        <f>B7*B8</f>
        <v>810</v>
      </c>
      <c r="C9" s="353"/>
      <c r="D9" s="362">
        <f>D8*(D7/2000)</f>
        <v>940</v>
      </c>
      <c r="E9" s="353"/>
      <c r="F9" s="362">
        <f>F7*F8</f>
        <v>960</v>
      </c>
      <c r="G9" s="407"/>
      <c r="H9" s="353">
        <f>H7*H8</f>
        <v>570</v>
      </c>
      <c r="I9" s="407"/>
      <c r="J9" s="353">
        <f>J7*J8</f>
        <v>477.59999999999997</v>
      </c>
      <c r="K9" s="408"/>
      <c r="L9" s="360">
        <f>L7*L8</f>
        <v>506.25000000000006</v>
      </c>
      <c r="M9" s="353"/>
      <c r="N9" s="362">
        <f>N8*(N7/2000)</f>
        <v>680</v>
      </c>
      <c r="O9" s="353"/>
      <c r="P9" s="362">
        <f>P7*P8</f>
        <v>408</v>
      </c>
      <c r="Q9" s="407"/>
      <c r="R9" s="353">
        <f>R7*R8</f>
        <v>285</v>
      </c>
      <c r="S9" s="407"/>
      <c r="T9" s="416">
        <f>T7*T8</f>
        <v>310.44</v>
      </c>
      <c r="U9" s="417"/>
      <c r="V9" s="90"/>
    </row>
    <row r="10" spans="1:34" x14ac:dyDescent="0.2">
      <c r="A10" s="101" t="s">
        <v>156</v>
      </c>
      <c r="B10" s="102"/>
      <c r="C10" s="103"/>
      <c r="D10" s="228"/>
      <c r="E10" s="103"/>
      <c r="F10" s="228"/>
      <c r="G10" s="229"/>
      <c r="H10" s="103"/>
      <c r="I10" s="229"/>
      <c r="J10" s="103"/>
      <c r="K10" s="104"/>
      <c r="L10" s="103"/>
      <c r="M10" s="103"/>
      <c r="N10" s="228"/>
      <c r="O10" s="103"/>
      <c r="P10" s="228"/>
      <c r="Q10" s="229"/>
      <c r="R10" s="103"/>
      <c r="S10" s="229"/>
      <c r="T10" s="103"/>
      <c r="U10" s="105"/>
      <c r="V10" s="90"/>
    </row>
    <row r="11" spans="1:34" x14ac:dyDescent="0.2">
      <c r="A11" s="95" t="s">
        <v>24</v>
      </c>
      <c r="B11" s="361">
        <v>114.2</v>
      </c>
      <c r="C11" s="351"/>
      <c r="D11" s="356">
        <v>117</v>
      </c>
      <c r="E11" s="351"/>
      <c r="F11" s="356">
        <v>128</v>
      </c>
      <c r="G11" s="357"/>
      <c r="H11" s="359">
        <f>Conventional!H11</f>
        <v>68</v>
      </c>
      <c r="I11" s="359"/>
      <c r="J11" s="351">
        <v>27</v>
      </c>
      <c r="K11" s="418"/>
      <c r="L11" s="361">
        <f>B11</f>
        <v>114.2</v>
      </c>
      <c r="M11" s="351"/>
      <c r="N11" s="356">
        <f>D11</f>
        <v>117</v>
      </c>
      <c r="O11" s="351"/>
      <c r="P11" s="356">
        <v>80</v>
      </c>
      <c r="Q11" s="357"/>
      <c r="R11" s="356">
        <f>Conventional!R11</f>
        <v>68</v>
      </c>
      <c r="S11" s="357"/>
      <c r="T11" s="351">
        <v>16.5</v>
      </c>
      <c r="U11" s="352"/>
      <c r="V11" s="90"/>
      <c r="AE11" s="283"/>
      <c r="AF11" s="283"/>
      <c r="AG11" s="283"/>
      <c r="AH11" s="283"/>
    </row>
    <row r="12" spans="1:34" x14ac:dyDescent="0.2">
      <c r="A12" s="95" t="s">
        <v>30</v>
      </c>
      <c r="B12" s="322"/>
      <c r="C12" s="323"/>
      <c r="D12" s="310"/>
      <c r="E12" s="311"/>
      <c r="F12" s="310"/>
      <c r="G12" s="311"/>
      <c r="H12" s="323"/>
      <c r="I12" s="311"/>
      <c r="J12" s="323"/>
      <c r="K12" s="400"/>
      <c r="L12" s="322"/>
      <c r="M12" s="311"/>
      <c r="N12" s="310"/>
      <c r="O12" s="311"/>
      <c r="P12" s="310"/>
      <c r="Q12" s="311"/>
      <c r="R12" s="323"/>
      <c r="S12" s="311"/>
      <c r="T12" s="323"/>
      <c r="U12" s="330"/>
      <c r="V12" s="90"/>
    </row>
    <row r="13" spans="1:34" x14ac:dyDescent="0.2">
      <c r="A13" s="95" t="s">
        <v>8</v>
      </c>
      <c r="B13" s="322">
        <f>B7/495*0.75</f>
        <v>1.8181818181818183</v>
      </c>
      <c r="C13" s="323"/>
      <c r="D13" s="230"/>
      <c r="E13" s="106"/>
      <c r="F13" s="230"/>
      <c r="G13" s="231"/>
      <c r="H13" s="106"/>
      <c r="I13" s="231"/>
      <c r="J13" s="106"/>
      <c r="K13" s="107"/>
      <c r="L13" s="322">
        <f>L7/495*0.75</f>
        <v>1.1363636363636362</v>
      </c>
      <c r="M13" s="323"/>
      <c r="N13" s="230"/>
      <c r="O13" s="106"/>
      <c r="P13" s="230"/>
      <c r="Q13" s="231"/>
      <c r="R13" s="106"/>
      <c r="S13" s="231"/>
      <c r="T13" s="106"/>
      <c r="U13" s="108"/>
      <c r="V13" s="90"/>
    </row>
    <row r="14" spans="1:34" x14ac:dyDescent="0.2">
      <c r="A14" s="95" t="s">
        <v>31</v>
      </c>
      <c r="B14" s="322">
        <f>14.85+6.58+B7*0.075*$D$48+0.0583*B7*$F$48+0.0583*B7*$H$48</f>
        <v>169.38400000000001</v>
      </c>
      <c r="C14" s="311"/>
      <c r="D14" s="313">
        <f>6.25+58.75+7.78</f>
        <v>72.78</v>
      </c>
      <c r="E14" s="313"/>
      <c r="F14" s="310">
        <f>22.5+1.2*F7*$D$48+0.5*F7*$F$48+F7*$H$48</f>
        <v>357.5</v>
      </c>
      <c r="G14" s="311"/>
      <c r="H14" s="323">
        <f>9.25+19.22+0.6667*H7*$F$48+1.333*H7*$H$48+6.9</f>
        <v>97.363500000000002</v>
      </c>
      <c r="I14" s="311"/>
      <c r="J14" s="323">
        <f>29.13+1.25*J7*$D$48+0.6*J7*$F$48+0.9*J7*$H$48</f>
        <v>203.88</v>
      </c>
      <c r="K14" s="400"/>
      <c r="L14" s="322">
        <f>14.85+6.58+0.08*L7*$D$48+0.0667*L7*$F$48+0.0667*L7*$H$48</f>
        <v>123.95875000000001</v>
      </c>
      <c r="M14" s="323"/>
      <c r="N14" s="313">
        <f>6.25+58.75+7.78</f>
        <v>72.78</v>
      </c>
      <c r="O14" s="313"/>
      <c r="P14" s="310">
        <f>14.56+P7*1.1765*$D$48+0.4706*P7*$F$48+0.7059*P7*$H$48</f>
        <v>143.56322500000002</v>
      </c>
      <c r="Q14" s="311"/>
      <c r="R14" s="323">
        <f>9.25+19.22+1.3333*R7*$F$48+2.6667*R7*$H$48+6.9</f>
        <v>97.369650000000007</v>
      </c>
      <c r="S14" s="311"/>
      <c r="T14" s="323">
        <f>14.56+1.2308*T7*$D$48+0.6154*T7*$F$48+0.9231*T7*$H$48</f>
        <v>128.56285</v>
      </c>
      <c r="U14" s="330"/>
      <c r="V14" s="90"/>
    </row>
    <row r="15" spans="1:34" x14ac:dyDescent="0.2">
      <c r="A15" s="95" t="s">
        <v>125</v>
      </c>
      <c r="B15" s="109"/>
      <c r="C15" s="106"/>
      <c r="D15" s="230"/>
      <c r="E15" s="106"/>
      <c r="F15" s="230"/>
      <c r="G15" s="231"/>
      <c r="H15" s="106"/>
      <c r="I15" s="231"/>
      <c r="J15" s="106"/>
      <c r="K15" s="107"/>
      <c r="L15" s="106"/>
      <c r="M15" s="106"/>
      <c r="N15" s="230"/>
      <c r="O15" s="106"/>
      <c r="P15" s="230"/>
      <c r="Q15" s="231"/>
      <c r="R15" s="106"/>
      <c r="S15" s="231"/>
      <c r="T15" s="106"/>
      <c r="U15" s="108"/>
      <c r="V15" s="90"/>
    </row>
    <row r="16" spans="1:34" x14ac:dyDescent="0.2">
      <c r="A16" s="95" t="s">
        <v>9</v>
      </c>
      <c r="B16" s="322">
        <f>83.89+17.2+19.26+2.4+12.64</f>
        <v>135.39000000000001</v>
      </c>
      <c r="C16" s="323"/>
      <c r="D16" s="310">
        <f>61.89+51.4+85.11</f>
        <v>198.39999999999998</v>
      </c>
      <c r="E16" s="323"/>
      <c r="F16" s="310">
        <f>23.76+6.27+13.86</f>
        <v>43.89</v>
      </c>
      <c r="G16" s="311"/>
      <c r="H16" s="323">
        <f>44.78+2.05+15.84</f>
        <v>62.67</v>
      </c>
      <c r="I16" s="311"/>
      <c r="J16" s="323">
        <f>18.54+12.03</f>
        <v>30.57</v>
      </c>
      <c r="K16" s="400"/>
      <c r="L16" s="322">
        <f>83.39+10.88+19.6+1.3+12.64</f>
        <v>127.81</v>
      </c>
      <c r="M16" s="323"/>
      <c r="N16" s="310">
        <f>88.91+51.4+34.97</f>
        <v>175.28</v>
      </c>
      <c r="O16" s="323"/>
      <c r="P16" s="310">
        <f>18.72+6.27+13.86</f>
        <v>38.849999999999994</v>
      </c>
      <c r="Q16" s="311"/>
      <c r="R16" s="323">
        <f>44.18+2.05</f>
        <v>46.23</v>
      </c>
      <c r="S16" s="311"/>
      <c r="T16" s="323">
        <f>J16</f>
        <v>30.57</v>
      </c>
      <c r="U16" s="330"/>
      <c r="V16" s="90"/>
    </row>
    <row r="17" spans="1:22" x14ac:dyDescent="0.2">
      <c r="A17" s="95" t="s">
        <v>172</v>
      </c>
      <c r="B17" s="322"/>
      <c r="C17" s="323"/>
      <c r="D17" s="230"/>
      <c r="E17" s="106"/>
      <c r="F17" s="230"/>
      <c r="G17" s="231"/>
      <c r="H17" s="106"/>
      <c r="I17" s="231"/>
      <c r="J17" s="106"/>
      <c r="K17" s="107"/>
      <c r="L17" s="322"/>
      <c r="M17" s="323"/>
      <c r="N17" s="230"/>
      <c r="O17" s="106"/>
      <c r="P17" s="230"/>
      <c r="Q17" s="231"/>
      <c r="R17" s="106"/>
      <c r="S17" s="231"/>
      <c r="T17" s="106"/>
      <c r="U17" s="108"/>
      <c r="V17" s="90"/>
    </row>
    <row r="18" spans="1:22" x14ac:dyDescent="0.2">
      <c r="A18" s="95" t="s">
        <v>174</v>
      </c>
      <c r="B18" s="322">
        <f>Conventional!B17</f>
        <v>10</v>
      </c>
      <c r="C18" s="323"/>
      <c r="D18" s="310">
        <f>Conventional!D17</f>
        <v>10</v>
      </c>
      <c r="E18" s="311"/>
      <c r="F18" s="230"/>
      <c r="G18" s="231"/>
      <c r="H18" s="106"/>
      <c r="I18" s="231"/>
      <c r="J18" s="106"/>
      <c r="K18" s="107"/>
      <c r="L18" s="322">
        <f>Conventional!L17</f>
        <v>10</v>
      </c>
      <c r="M18" s="323"/>
      <c r="N18" s="310">
        <f>Conventional!N17</f>
        <v>10</v>
      </c>
      <c r="O18" s="311"/>
      <c r="P18" s="230"/>
      <c r="Q18" s="231"/>
      <c r="R18" s="106"/>
      <c r="S18" s="231"/>
      <c r="T18" s="106"/>
      <c r="U18" s="108"/>
      <c r="V18" s="90"/>
    </row>
    <row r="19" spans="1:22" x14ac:dyDescent="0.2">
      <c r="A19" s="95" t="s">
        <v>10</v>
      </c>
      <c r="B19" s="322">
        <f>Conventional!B18</f>
        <v>10</v>
      </c>
      <c r="C19" s="323"/>
      <c r="D19" s="310">
        <f>Conventional!D18</f>
        <v>10</v>
      </c>
      <c r="E19" s="311"/>
      <c r="F19" s="230"/>
      <c r="G19" s="231"/>
      <c r="H19" s="106"/>
      <c r="I19" s="231"/>
      <c r="J19" s="106"/>
      <c r="K19" s="107"/>
      <c r="L19" s="322">
        <f>Conventional!L18</f>
        <v>10</v>
      </c>
      <c r="M19" s="323"/>
      <c r="N19" s="310">
        <f>Conventional!N18</f>
        <v>10</v>
      </c>
      <c r="O19" s="311"/>
      <c r="P19" s="230"/>
      <c r="Q19" s="231"/>
      <c r="R19" s="106"/>
      <c r="S19" s="231"/>
      <c r="T19" s="106"/>
      <c r="U19" s="108"/>
      <c r="V19" s="90"/>
    </row>
    <row r="20" spans="1:22" x14ac:dyDescent="0.2">
      <c r="A20" s="95" t="s">
        <v>32</v>
      </c>
      <c r="B20" s="322">
        <f>(3.2+7)*$B$50</f>
        <v>30.599999999999998</v>
      </c>
      <c r="C20" s="323"/>
      <c r="D20" s="310">
        <f>(4.7+7.9)*$B$50</f>
        <v>37.800000000000004</v>
      </c>
      <c r="E20" s="323"/>
      <c r="F20" s="310">
        <f>6.1*$B$50</f>
        <v>18.299999999999997</v>
      </c>
      <c r="G20" s="311"/>
      <c r="H20" s="323">
        <f>5.2*$B$50</f>
        <v>15.600000000000001</v>
      </c>
      <c r="I20" s="311"/>
      <c r="J20" s="323">
        <f>6*$B$50</f>
        <v>18</v>
      </c>
      <c r="K20" s="400"/>
      <c r="L20" s="322">
        <f>(3.2+7)*$B$50</f>
        <v>30.599999999999998</v>
      </c>
      <c r="M20" s="323"/>
      <c r="N20" s="310">
        <f>(4.7+7.9)*$B$50</f>
        <v>37.800000000000004</v>
      </c>
      <c r="O20" s="323"/>
      <c r="P20" s="310">
        <f>6.1*$B$50</f>
        <v>18.299999999999997</v>
      </c>
      <c r="Q20" s="311"/>
      <c r="R20" s="323">
        <f>H20</f>
        <v>15.600000000000001</v>
      </c>
      <c r="S20" s="311"/>
      <c r="T20" s="323">
        <f>J20</f>
        <v>18</v>
      </c>
      <c r="U20" s="330"/>
      <c r="V20" s="90"/>
    </row>
    <row r="21" spans="1:22" x14ac:dyDescent="0.2">
      <c r="A21" s="95" t="s">
        <v>11</v>
      </c>
      <c r="B21" s="322">
        <f>1.05*(11.18+39.38)</f>
        <v>53.088000000000008</v>
      </c>
      <c r="C21" s="323"/>
      <c r="D21" s="310">
        <f>1.05*(17.24+39.7)</f>
        <v>59.786999999999999</v>
      </c>
      <c r="E21" s="311"/>
      <c r="F21" s="310">
        <f>13.26+12.09</f>
        <v>25.35</v>
      </c>
      <c r="G21" s="311"/>
      <c r="H21" s="310">
        <f>10.84+9.15</f>
        <v>19.990000000000002</v>
      </c>
      <c r="I21" s="311"/>
      <c r="J21" s="310">
        <f>13.8+8.43</f>
        <v>22.23</v>
      </c>
      <c r="K21" s="330"/>
      <c r="L21" s="322">
        <f>B21</f>
        <v>53.088000000000008</v>
      </c>
      <c r="M21" s="323"/>
      <c r="N21" s="310">
        <f>D21</f>
        <v>59.786999999999999</v>
      </c>
      <c r="O21" s="311"/>
      <c r="P21" s="310">
        <f>F21</f>
        <v>25.35</v>
      </c>
      <c r="Q21" s="311"/>
      <c r="R21" s="310">
        <f>H21</f>
        <v>19.990000000000002</v>
      </c>
      <c r="S21" s="311"/>
      <c r="T21" s="310">
        <f>J21</f>
        <v>22.23</v>
      </c>
      <c r="U21" s="330"/>
      <c r="V21" s="90"/>
    </row>
    <row r="22" spans="1:22" x14ac:dyDescent="0.2">
      <c r="A22" s="95" t="s">
        <v>33</v>
      </c>
      <c r="B22" s="322">
        <f>((9*7)*0.67+(4*$B$50*7)*0.33)</f>
        <v>69.930000000000007</v>
      </c>
      <c r="C22" s="311"/>
      <c r="D22" s="310">
        <f>((9*5)*0.67+(4*$B$50*5)*0.33)</f>
        <v>49.95</v>
      </c>
      <c r="E22" s="311"/>
      <c r="F22" s="310">
        <f>((9*7)*0.67+(4*$B$50*7)*0.33)</f>
        <v>69.930000000000007</v>
      </c>
      <c r="G22" s="311"/>
      <c r="H22" s="310">
        <f>((9*4)*0.67+(4*$B$50*4)*0.33)</f>
        <v>39.96</v>
      </c>
      <c r="I22" s="311"/>
      <c r="J22" s="323">
        <f>((9*3)*0.67+(4*$B$50*3)*0.33)</f>
        <v>29.97</v>
      </c>
      <c r="K22" s="400"/>
      <c r="L22" s="106"/>
      <c r="M22" s="106"/>
      <c r="N22" s="230"/>
      <c r="O22" s="106"/>
      <c r="P22" s="230"/>
      <c r="Q22" s="231"/>
      <c r="R22" s="106"/>
      <c r="S22" s="231"/>
      <c r="T22" s="106"/>
      <c r="U22" s="108"/>
      <c r="V22" s="90"/>
    </row>
    <row r="23" spans="1:22" x14ac:dyDescent="0.2">
      <c r="A23" s="95" t="s">
        <v>13</v>
      </c>
      <c r="B23" s="322">
        <v>12.61</v>
      </c>
      <c r="C23" s="323"/>
      <c r="D23" s="310">
        <v>31.74</v>
      </c>
      <c r="E23" s="323"/>
      <c r="F23" s="310">
        <f>12.49</f>
        <v>12.49</v>
      </c>
      <c r="G23" s="311"/>
      <c r="H23" s="323">
        <v>10.34</v>
      </c>
      <c r="I23" s="311"/>
      <c r="J23" s="323">
        <v>12.5</v>
      </c>
      <c r="K23" s="330"/>
      <c r="L23" s="322">
        <v>12.61</v>
      </c>
      <c r="M23" s="323"/>
      <c r="N23" s="310">
        <v>31.74</v>
      </c>
      <c r="O23" s="323"/>
      <c r="P23" s="310">
        <v>12.49</v>
      </c>
      <c r="Q23" s="311"/>
      <c r="R23" s="323">
        <v>10.34</v>
      </c>
      <c r="S23" s="311"/>
      <c r="T23" s="323">
        <f>J23</f>
        <v>12.5</v>
      </c>
      <c r="U23" s="330"/>
      <c r="V23" s="90"/>
    </row>
    <row r="24" spans="1:22" x14ac:dyDescent="0.2">
      <c r="A24" s="95" t="s">
        <v>14</v>
      </c>
      <c r="B24" s="323">
        <f>Conventional!B23</f>
        <v>12.5</v>
      </c>
      <c r="C24" s="311"/>
      <c r="D24" s="323">
        <f>Conventional!D23</f>
        <v>14</v>
      </c>
      <c r="E24" s="311"/>
      <c r="F24" s="323">
        <f>Conventional!F23</f>
        <v>10</v>
      </c>
      <c r="G24" s="311"/>
      <c r="H24" s="323">
        <f>Conventional!H23</f>
        <v>10</v>
      </c>
      <c r="I24" s="311"/>
      <c r="J24" s="323">
        <f>Conventional!J23</f>
        <v>24</v>
      </c>
      <c r="K24" s="400"/>
      <c r="L24" s="106">
        <f>Conventional!L23</f>
        <v>14</v>
      </c>
      <c r="M24" s="231"/>
      <c r="N24" s="323">
        <f>Conventional!N23</f>
        <v>38</v>
      </c>
      <c r="O24" s="311"/>
      <c r="P24" s="323">
        <f>Conventional!P23</f>
        <v>28</v>
      </c>
      <c r="Q24" s="311"/>
      <c r="R24" s="323">
        <f>Conventional!R23</f>
        <v>12</v>
      </c>
      <c r="S24" s="311"/>
      <c r="T24" s="323">
        <f>Conventional!T23</f>
        <v>19</v>
      </c>
      <c r="U24" s="330"/>
      <c r="V24" s="90"/>
    </row>
    <row r="25" spans="1:22" x14ac:dyDescent="0.2">
      <c r="A25" s="95" t="s">
        <v>126</v>
      </c>
      <c r="B25" s="322"/>
      <c r="C25" s="311"/>
      <c r="D25" s="310"/>
      <c r="E25" s="311"/>
      <c r="F25" s="310"/>
      <c r="G25" s="311"/>
      <c r="H25" s="310"/>
      <c r="I25" s="311"/>
      <c r="J25" s="310"/>
      <c r="K25" s="400"/>
      <c r="L25" s="322"/>
      <c r="M25" s="311"/>
      <c r="N25" s="310"/>
      <c r="O25" s="311"/>
      <c r="P25" s="310"/>
      <c r="Q25" s="311"/>
      <c r="R25" s="310"/>
      <c r="S25" s="311"/>
      <c r="T25" s="310"/>
      <c r="U25" s="330"/>
      <c r="V25" s="90"/>
    </row>
    <row r="26" spans="1:22" x14ac:dyDescent="0.2">
      <c r="A26" s="95" t="s">
        <v>16</v>
      </c>
      <c r="B26" s="109"/>
      <c r="C26" s="106"/>
      <c r="D26" s="230"/>
      <c r="E26" s="106"/>
      <c r="F26" s="230"/>
      <c r="G26" s="231"/>
      <c r="H26" s="106"/>
      <c r="I26" s="231"/>
      <c r="J26" s="106"/>
      <c r="K26" s="107"/>
      <c r="L26" s="106"/>
      <c r="M26" s="106"/>
      <c r="N26" s="230"/>
      <c r="O26" s="106"/>
      <c r="P26" s="230"/>
      <c r="Q26" s="231"/>
      <c r="R26" s="106"/>
      <c r="S26" s="231"/>
      <c r="T26" s="106"/>
      <c r="U26" s="108"/>
      <c r="V26" s="90"/>
    </row>
    <row r="27" spans="1:22" x14ac:dyDescent="0.2">
      <c r="A27" s="95" t="s">
        <v>17</v>
      </c>
      <c r="B27" s="363">
        <f>(SUM(B11:B26))*0.5*0.075</f>
        <v>23.232006818181819</v>
      </c>
      <c r="C27" s="341"/>
      <c r="D27" s="389">
        <f>(SUM(D11:D26))*0.5*0.075</f>
        <v>22.554637499999998</v>
      </c>
      <c r="E27" s="341"/>
      <c r="F27" s="389">
        <f>(SUM(F11:F26))*0.5*0.075</f>
        <v>24.954750000000001</v>
      </c>
      <c r="G27" s="390"/>
      <c r="H27" s="341">
        <f>(SUM(H11:H26))*0.5*0.075</f>
        <v>12.147131249999997</v>
      </c>
      <c r="I27" s="390"/>
      <c r="J27" s="341">
        <f>(SUM(J11:J26))*0.5*0.075</f>
        <v>13.805624999999999</v>
      </c>
      <c r="K27" s="401"/>
      <c r="L27" s="363">
        <f>(SUM(L11:L26))*0.5*0.075</f>
        <v>18.652616761363639</v>
      </c>
      <c r="M27" s="341"/>
      <c r="N27" s="389">
        <f>(SUM(N11:N26))*0.5*0.075</f>
        <v>20.714512499999998</v>
      </c>
      <c r="O27" s="341"/>
      <c r="P27" s="389">
        <f>(SUM(P11:P26))*0.5*0.075</f>
        <v>12.995745937500002</v>
      </c>
      <c r="Q27" s="390"/>
      <c r="R27" s="341">
        <f>(SUM(R11:R26))*0.5*0.075</f>
        <v>10.107361875</v>
      </c>
      <c r="S27" s="390"/>
      <c r="T27" s="341">
        <f>(SUM(T11:T26))*0.5*0.075</f>
        <v>9.2761068749999982</v>
      </c>
      <c r="U27" s="342"/>
      <c r="V27" s="90"/>
    </row>
    <row r="28" spans="1:22" x14ac:dyDescent="0.2">
      <c r="A28" s="95" t="s">
        <v>171</v>
      </c>
      <c r="B28" s="363">
        <f>0.01*B7</f>
        <v>12</v>
      </c>
      <c r="C28" s="341"/>
      <c r="D28" s="232"/>
      <c r="E28" s="110"/>
      <c r="F28" s="232"/>
      <c r="G28" s="233"/>
      <c r="H28" s="110"/>
      <c r="I28" s="233"/>
      <c r="J28" s="110"/>
      <c r="K28" s="111"/>
      <c r="L28" s="363">
        <f>0.01*L7</f>
        <v>7.5</v>
      </c>
      <c r="M28" s="341"/>
      <c r="N28" s="232"/>
      <c r="O28" s="110"/>
      <c r="P28" s="232"/>
      <c r="Q28" s="233"/>
      <c r="R28" s="110"/>
      <c r="S28" s="233"/>
      <c r="T28" s="110"/>
      <c r="U28" s="112"/>
      <c r="V28" s="90"/>
    </row>
    <row r="29" spans="1:22" x14ac:dyDescent="0.2">
      <c r="A29" s="95" t="s">
        <v>15</v>
      </c>
      <c r="B29" s="113"/>
      <c r="C29" s="110"/>
      <c r="D29" s="389">
        <f>D7/2000*0.33*20+D7/2000*0.67*30</f>
        <v>62.745000000000005</v>
      </c>
      <c r="E29" s="341"/>
      <c r="F29" s="389">
        <f>F7*1.0975*0.28</f>
        <v>61.46</v>
      </c>
      <c r="G29" s="390"/>
      <c r="H29" s="110"/>
      <c r="I29" s="233"/>
      <c r="J29" s="341">
        <f>J7*1.0975*0.28</f>
        <v>30.73</v>
      </c>
      <c r="K29" s="401"/>
      <c r="L29" s="110"/>
      <c r="M29" s="110"/>
      <c r="N29" s="389">
        <f>N7/2000*0.33*20+N7/2000*0.67*30</f>
        <v>45.39</v>
      </c>
      <c r="O29" s="341"/>
      <c r="P29" s="389">
        <f>P7*1.0975*0.28</f>
        <v>26.1205</v>
      </c>
      <c r="Q29" s="390"/>
      <c r="R29" s="110"/>
      <c r="S29" s="233"/>
      <c r="T29" s="341">
        <f>T7*1.0975*0.28</f>
        <v>19.974499999999999</v>
      </c>
      <c r="U29" s="342"/>
      <c r="V29" s="90"/>
    </row>
    <row r="30" spans="1:22" x14ac:dyDescent="0.2">
      <c r="A30" s="95" t="s">
        <v>18</v>
      </c>
      <c r="B30" s="113"/>
      <c r="C30" s="110"/>
      <c r="D30" s="397">
        <f>D7/2000*3+D7/2000*355*0.01</f>
        <v>15.3925</v>
      </c>
      <c r="E30" s="325"/>
      <c r="F30" s="232"/>
      <c r="G30" s="233"/>
      <c r="H30" s="110"/>
      <c r="I30" s="233"/>
      <c r="J30" s="110"/>
      <c r="K30" s="111"/>
      <c r="L30" s="110"/>
      <c r="M30" s="110"/>
      <c r="N30" s="397">
        <f>N7/2000*3+N7/2000*355*0.01</f>
        <v>11.135</v>
      </c>
      <c r="O30" s="325"/>
      <c r="P30" s="232"/>
      <c r="Q30" s="233"/>
      <c r="R30" s="110"/>
      <c r="S30" s="233"/>
      <c r="T30" s="110"/>
      <c r="U30" s="114"/>
      <c r="V30" s="90"/>
    </row>
    <row r="31" spans="1:22" ht="15" thickBot="1" x14ac:dyDescent="0.25">
      <c r="A31" s="115" t="s">
        <v>157</v>
      </c>
      <c r="B31" s="337">
        <f t="shared" ref="B31:T31" si="0">SUM(B11:B30)</f>
        <v>654.75218863636371</v>
      </c>
      <c r="C31" s="336"/>
      <c r="D31" s="393">
        <f t="shared" si="0"/>
        <v>702.14913750000005</v>
      </c>
      <c r="E31" s="336"/>
      <c r="F31" s="393">
        <f t="shared" si="0"/>
        <v>751.87475000000006</v>
      </c>
      <c r="G31" s="394"/>
      <c r="H31" s="336">
        <f t="shared" si="0"/>
        <v>336.07063124999991</v>
      </c>
      <c r="I31" s="394"/>
      <c r="J31" s="336">
        <f t="shared" si="0"/>
        <v>412.68562500000002</v>
      </c>
      <c r="K31" s="388"/>
      <c r="L31" s="337">
        <f t="shared" si="0"/>
        <v>523.5557303977273</v>
      </c>
      <c r="M31" s="336"/>
      <c r="N31" s="393">
        <f t="shared" si="0"/>
        <v>629.62651249999988</v>
      </c>
      <c r="O31" s="336"/>
      <c r="P31" s="393">
        <f t="shared" si="0"/>
        <v>385.66947093750002</v>
      </c>
      <c r="Q31" s="394"/>
      <c r="R31" s="336">
        <f t="shared" si="0"/>
        <v>279.63701187499998</v>
      </c>
      <c r="S31" s="394"/>
      <c r="T31" s="336">
        <f t="shared" si="0"/>
        <v>276.61345687499994</v>
      </c>
      <c r="U31" s="339"/>
      <c r="V31" s="90"/>
    </row>
    <row r="32" spans="1:22" x14ac:dyDescent="0.2">
      <c r="A32" s="116" t="s">
        <v>163</v>
      </c>
      <c r="B32" s="364">
        <f t="shared" ref="B32:T32" si="1">B9-B31</f>
        <v>155.24781136363629</v>
      </c>
      <c r="C32" s="345"/>
      <c r="D32" s="391">
        <f t="shared" si="1"/>
        <v>237.85086249999995</v>
      </c>
      <c r="E32" s="345"/>
      <c r="F32" s="391">
        <f t="shared" si="1"/>
        <v>208.12524999999994</v>
      </c>
      <c r="G32" s="392"/>
      <c r="H32" s="345">
        <f t="shared" si="1"/>
        <v>233.92936875000009</v>
      </c>
      <c r="I32" s="392"/>
      <c r="J32" s="345">
        <f t="shared" si="1"/>
        <v>64.91437499999995</v>
      </c>
      <c r="K32" s="406"/>
      <c r="L32" s="364">
        <f t="shared" si="1"/>
        <v>-17.305730397727245</v>
      </c>
      <c r="M32" s="345"/>
      <c r="N32" s="391">
        <f t="shared" si="1"/>
        <v>50.373487500000124</v>
      </c>
      <c r="O32" s="345"/>
      <c r="P32" s="391">
        <f t="shared" si="1"/>
        <v>22.330529062499977</v>
      </c>
      <c r="Q32" s="392"/>
      <c r="R32" s="345">
        <f t="shared" si="1"/>
        <v>5.3629881250000153</v>
      </c>
      <c r="S32" s="392"/>
      <c r="T32" s="345">
        <f t="shared" si="1"/>
        <v>33.826543125000057</v>
      </c>
      <c r="U32" s="346"/>
      <c r="V32" s="90"/>
    </row>
    <row r="33" spans="1:34" x14ac:dyDescent="0.2">
      <c r="A33" s="117" t="str">
        <f>Conventional!A32</f>
        <v>BREAKEVEN PRICE  (Variable Cost)</v>
      </c>
      <c r="B33" s="118">
        <f>B31/B7</f>
        <v>0.54562682386363648</v>
      </c>
      <c r="C33" s="119" t="s">
        <v>159</v>
      </c>
      <c r="D33" s="218">
        <f>D31/D7*2000</f>
        <v>298.78686702127658</v>
      </c>
      <c r="E33" s="119" t="s">
        <v>160</v>
      </c>
      <c r="F33" s="219">
        <f>F31/F7</f>
        <v>3.7593737500000004</v>
      </c>
      <c r="G33" s="217" t="s">
        <v>162</v>
      </c>
      <c r="H33" s="120">
        <f>H31/H7</f>
        <v>5.6011771874999985</v>
      </c>
      <c r="I33" s="217" t="s">
        <v>162</v>
      </c>
      <c r="J33" s="120">
        <f>J31/J7</f>
        <v>4.1268562500000003</v>
      </c>
      <c r="K33" s="121" t="s">
        <v>162</v>
      </c>
      <c r="L33" s="120">
        <f>L31/L7</f>
        <v>0.69807430719696972</v>
      </c>
      <c r="M33" s="119" t="s">
        <v>159</v>
      </c>
      <c r="N33" s="239">
        <f>N31/N7*2000</f>
        <v>370.36853676470582</v>
      </c>
      <c r="O33" s="119" t="s">
        <v>160</v>
      </c>
      <c r="P33" s="219">
        <f>P31/P7</f>
        <v>4.5372878933823531</v>
      </c>
      <c r="Q33" s="217" t="s">
        <v>162</v>
      </c>
      <c r="R33" s="120">
        <f>R31/R7</f>
        <v>9.321233729166666</v>
      </c>
      <c r="S33" s="217" t="s">
        <v>162</v>
      </c>
      <c r="T33" s="120">
        <f>T31/T7</f>
        <v>4.2555916442307682</v>
      </c>
      <c r="U33" s="122" t="s">
        <v>162</v>
      </c>
      <c r="V33" s="90"/>
    </row>
    <row r="34" spans="1:34" x14ac:dyDescent="0.2">
      <c r="A34" s="293" t="str">
        <f>Conventional!A33</f>
        <v>BREAKEVEN YIELD per ACRE (Variable Cost)</v>
      </c>
      <c r="B34" s="299">
        <f>B31/B8</f>
        <v>970.00324242424244</v>
      </c>
      <c r="C34" s="300" t="s">
        <v>158</v>
      </c>
      <c r="D34" s="301">
        <f>D31/D8*2000</f>
        <v>3510.7456875000003</v>
      </c>
      <c r="E34" s="300" t="s">
        <v>158</v>
      </c>
      <c r="F34" s="301">
        <f>F31/F8</f>
        <v>156.64057291666668</v>
      </c>
      <c r="G34" s="302" t="s">
        <v>161</v>
      </c>
      <c r="H34" s="301">
        <f>H31/H8</f>
        <v>35.375855921052619</v>
      </c>
      <c r="I34" s="302" t="s">
        <v>161</v>
      </c>
      <c r="J34" s="301">
        <f>J31/J8</f>
        <v>86.408212939698501</v>
      </c>
      <c r="K34" s="303" t="s">
        <v>161</v>
      </c>
      <c r="L34" s="299">
        <f>L31/L8</f>
        <v>775.63811910774405</v>
      </c>
      <c r="M34" s="300" t="s">
        <v>158</v>
      </c>
      <c r="N34" s="301">
        <f>N31/N8*2000</f>
        <v>3148.1325624999995</v>
      </c>
      <c r="O34" s="300" t="s">
        <v>158</v>
      </c>
      <c r="P34" s="301">
        <f>P31/P8</f>
        <v>80.347806445312514</v>
      </c>
      <c r="Q34" s="302" t="s">
        <v>161</v>
      </c>
      <c r="R34" s="301">
        <f>R31/R8</f>
        <v>29.435474934210525</v>
      </c>
      <c r="S34" s="302" t="s">
        <v>161</v>
      </c>
      <c r="T34" s="301">
        <f>T31/T8</f>
        <v>57.917390467964815</v>
      </c>
      <c r="U34" s="304" t="s">
        <v>161</v>
      </c>
      <c r="V34" s="90"/>
    </row>
    <row r="35" spans="1:34" x14ac:dyDescent="0.2">
      <c r="A35" s="98" t="s">
        <v>164</v>
      </c>
      <c r="B35" s="113"/>
      <c r="C35" s="110"/>
      <c r="D35" s="232"/>
      <c r="E35" s="110"/>
      <c r="F35" s="232"/>
      <c r="G35" s="233"/>
      <c r="H35" s="110"/>
      <c r="I35" s="233"/>
      <c r="J35" s="110"/>
      <c r="K35" s="111"/>
      <c r="L35" s="110"/>
      <c r="M35" s="110"/>
      <c r="N35" s="232"/>
      <c r="O35" s="110"/>
      <c r="P35" s="232"/>
      <c r="Q35" s="233"/>
      <c r="R35" s="110"/>
      <c r="S35" s="233"/>
      <c r="T35" s="110"/>
      <c r="U35" s="112"/>
      <c r="V35" s="90"/>
    </row>
    <row r="36" spans="1:34" x14ac:dyDescent="0.2">
      <c r="A36" s="95" t="s">
        <v>19</v>
      </c>
      <c r="B36" s="322">
        <f>1.05*(38.01+179.42)</f>
        <v>228.30149999999998</v>
      </c>
      <c r="C36" s="323"/>
      <c r="D36" s="310">
        <f>1.05*(43.81+119.64)</f>
        <v>171.6225</v>
      </c>
      <c r="E36" s="323"/>
      <c r="F36" s="310">
        <f>35.48+58.72</f>
        <v>94.199999999999989</v>
      </c>
      <c r="G36" s="311"/>
      <c r="H36" s="323">
        <f>30.6+44.4</f>
        <v>75</v>
      </c>
      <c r="I36" s="311"/>
      <c r="J36" s="323">
        <f>36.74+43.95</f>
        <v>80.69</v>
      </c>
      <c r="K36" s="330"/>
      <c r="L36" s="322">
        <f>B36</f>
        <v>228.30149999999998</v>
      </c>
      <c r="M36" s="323"/>
      <c r="N36" s="310">
        <f>D36</f>
        <v>171.6225</v>
      </c>
      <c r="O36" s="323"/>
      <c r="P36" s="310">
        <f>F36</f>
        <v>94.199999999999989</v>
      </c>
      <c r="Q36" s="311"/>
      <c r="R36" s="323">
        <f>H36</f>
        <v>75</v>
      </c>
      <c r="S36" s="311"/>
      <c r="T36" s="323">
        <f>J36</f>
        <v>80.69</v>
      </c>
      <c r="U36" s="330"/>
      <c r="V36" s="90"/>
    </row>
    <row r="37" spans="1:34" x14ac:dyDescent="0.2">
      <c r="A37" s="95" t="s">
        <v>12</v>
      </c>
      <c r="B37" s="322">
        <f>Conventional!B36</f>
        <v>140</v>
      </c>
      <c r="C37" s="323"/>
      <c r="D37" s="310">
        <f>Conventional!D36</f>
        <v>140</v>
      </c>
      <c r="E37" s="323"/>
      <c r="F37" s="310">
        <f>Conventional!F36</f>
        <v>140</v>
      </c>
      <c r="G37" s="311"/>
      <c r="H37" s="323">
        <f>Conventional!H36</f>
        <v>140</v>
      </c>
      <c r="I37" s="311"/>
      <c r="J37" s="323">
        <f>Conventional!J36</f>
        <v>140</v>
      </c>
      <c r="K37" s="400"/>
      <c r="L37" s="106"/>
      <c r="M37" s="106"/>
      <c r="N37" s="230"/>
      <c r="O37" s="106"/>
      <c r="P37" s="230"/>
      <c r="Q37" s="231"/>
      <c r="R37" s="106"/>
      <c r="S37" s="231"/>
      <c r="T37" s="106"/>
      <c r="U37" s="108"/>
      <c r="V37" s="90"/>
    </row>
    <row r="38" spans="1:34" x14ac:dyDescent="0.2">
      <c r="A38" s="95" t="s">
        <v>20</v>
      </c>
      <c r="B38" s="109"/>
      <c r="C38" s="106"/>
      <c r="D38" s="230"/>
      <c r="E38" s="106"/>
      <c r="F38" s="230"/>
      <c r="G38" s="231"/>
      <c r="H38" s="106"/>
      <c r="I38" s="231"/>
      <c r="J38" s="106"/>
      <c r="K38" s="107"/>
      <c r="L38" s="106"/>
      <c r="M38" s="106"/>
      <c r="N38" s="230"/>
      <c r="O38" s="106"/>
      <c r="P38" s="230"/>
      <c r="Q38" s="231"/>
      <c r="R38" s="106"/>
      <c r="S38" s="231"/>
      <c r="T38" s="106"/>
      <c r="U38" s="108"/>
      <c r="V38" s="90"/>
    </row>
    <row r="39" spans="1:34" x14ac:dyDescent="0.2">
      <c r="A39" s="95" t="s">
        <v>21</v>
      </c>
      <c r="B39" s="324">
        <f>0.05*B31</f>
        <v>32.737609431818186</v>
      </c>
      <c r="C39" s="325"/>
      <c r="D39" s="397">
        <f>0.05*D31</f>
        <v>35.107456875000004</v>
      </c>
      <c r="E39" s="325"/>
      <c r="F39" s="397">
        <f>0.05*F31</f>
        <v>37.593737500000003</v>
      </c>
      <c r="G39" s="402"/>
      <c r="H39" s="325">
        <f>0.05*H31</f>
        <v>16.803531562499995</v>
      </c>
      <c r="I39" s="402"/>
      <c r="J39" s="325">
        <f>0.05*J31</f>
        <v>20.634281250000001</v>
      </c>
      <c r="K39" s="404"/>
      <c r="L39" s="324">
        <f>0.05*L31</f>
        <v>26.177786519886368</v>
      </c>
      <c r="M39" s="325"/>
      <c r="N39" s="397">
        <f>0.05*N31</f>
        <v>31.481325624999997</v>
      </c>
      <c r="O39" s="325"/>
      <c r="P39" s="397">
        <f>0.05*P31</f>
        <v>19.283473546875001</v>
      </c>
      <c r="Q39" s="402"/>
      <c r="R39" s="325">
        <f>0.05*R31</f>
        <v>13.98185059375</v>
      </c>
      <c r="S39" s="402"/>
      <c r="T39" s="325">
        <f>0.05*T31</f>
        <v>13.830672843749998</v>
      </c>
      <c r="U39" s="334"/>
      <c r="V39" s="90"/>
    </row>
    <row r="40" spans="1:34" x14ac:dyDescent="0.2">
      <c r="A40" s="123" t="s">
        <v>165</v>
      </c>
      <c r="B40" s="326">
        <f>SUM(B36:B39)</f>
        <v>401.03910943181813</v>
      </c>
      <c r="C40" s="327"/>
      <c r="D40" s="395">
        <f>SUM(D36:D39)</f>
        <v>346.72995687500003</v>
      </c>
      <c r="E40" s="327"/>
      <c r="F40" s="395">
        <f>SUM(F36:F39)</f>
        <v>271.79373750000002</v>
      </c>
      <c r="G40" s="403"/>
      <c r="H40" s="327">
        <f>SUM(H36:H39)</f>
        <v>231.80353156249998</v>
      </c>
      <c r="I40" s="403"/>
      <c r="J40" s="327">
        <f>SUM(J36:J39)</f>
        <v>241.32428125000001</v>
      </c>
      <c r="K40" s="405"/>
      <c r="L40" s="326">
        <f>SUM(L36:L39)</f>
        <v>254.47928651988633</v>
      </c>
      <c r="M40" s="327"/>
      <c r="N40" s="395">
        <f>SUM(N36:N39)</f>
        <v>203.10382562500001</v>
      </c>
      <c r="O40" s="327"/>
      <c r="P40" s="395">
        <f>SUM(P36:P39)</f>
        <v>113.48347354687499</v>
      </c>
      <c r="Q40" s="403"/>
      <c r="R40" s="327">
        <f>SUM(R36:R39)</f>
        <v>88.981850593749996</v>
      </c>
      <c r="S40" s="403"/>
      <c r="T40" s="327">
        <f>SUM(T36:T39)</f>
        <v>94.520672843749992</v>
      </c>
      <c r="U40" s="333"/>
      <c r="V40" s="90"/>
    </row>
    <row r="41" spans="1:34" x14ac:dyDescent="0.2">
      <c r="A41" s="124"/>
      <c r="B41" s="125"/>
      <c r="C41" s="126"/>
      <c r="D41" s="234"/>
      <c r="E41" s="126"/>
      <c r="F41" s="234"/>
      <c r="G41" s="235"/>
      <c r="H41" s="126"/>
      <c r="I41" s="235"/>
      <c r="J41" s="126"/>
      <c r="K41" s="127"/>
      <c r="L41" s="126"/>
      <c r="M41" s="126"/>
      <c r="N41" s="234"/>
      <c r="O41" s="126"/>
      <c r="P41" s="234"/>
      <c r="Q41" s="235"/>
      <c r="R41" s="126"/>
      <c r="S41" s="235"/>
      <c r="T41" s="126"/>
      <c r="U41" s="128"/>
      <c r="V41" s="90"/>
    </row>
    <row r="42" spans="1:34" ht="15" thickBot="1" x14ac:dyDescent="0.25">
      <c r="A42" s="129" t="s">
        <v>166</v>
      </c>
      <c r="B42" s="337">
        <f>B40+B31</f>
        <v>1055.7912980681817</v>
      </c>
      <c r="C42" s="336"/>
      <c r="D42" s="393">
        <f>D40+D31</f>
        <v>1048.879094375</v>
      </c>
      <c r="E42" s="336"/>
      <c r="F42" s="393">
        <f>F40+F31</f>
        <v>1023.6684875000001</v>
      </c>
      <c r="G42" s="394"/>
      <c r="H42" s="336">
        <f>H40+H31</f>
        <v>567.87416281249989</v>
      </c>
      <c r="I42" s="394"/>
      <c r="J42" s="336">
        <f>J40+J31</f>
        <v>654.00990625000009</v>
      </c>
      <c r="K42" s="388"/>
      <c r="L42" s="337">
        <f>L40+L31</f>
        <v>778.03501691761358</v>
      </c>
      <c r="M42" s="336"/>
      <c r="N42" s="393">
        <f>N40+N31</f>
        <v>832.73033812499989</v>
      </c>
      <c r="O42" s="336"/>
      <c r="P42" s="393">
        <f>P40+P31</f>
        <v>499.15294448437498</v>
      </c>
      <c r="Q42" s="394"/>
      <c r="R42" s="336">
        <f>R40+R31</f>
        <v>368.61886246874997</v>
      </c>
      <c r="S42" s="394"/>
      <c r="T42" s="336">
        <f>T40+T31</f>
        <v>371.13412971874993</v>
      </c>
      <c r="U42" s="339"/>
      <c r="V42" s="90"/>
    </row>
    <row r="43" spans="1:34" ht="15" thickBot="1" x14ac:dyDescent="0.25">
      <c r="A43" s="130" t="s">
        <v>167</v>
      </c>
      <c r="B43" s="328">
        <f>B9-B42</f>
        <v>-245.79129806818173</v>
      </c>
      <c r="C43" s="329"/>
      <c r="D43" s="398">
        <f>D9-D42</f>
        <v>-108.87909437500002</v>
      </c>
      <c r="E43" s="329"/>
      <c r="F43" s="398">
        <f>F9-F42</f>
        <v>-63.668487500000083</v>
      </c>
      <c r="G43" s="399"/>
      <c r="H43" s="329">
        <f>H9-H42</f>
        <v>2.1258371875001103</v>
      </c>
      <c r="I43" s="399"/>
      <c r="J43" s="329">
        <f>J9-J42</f>
        <v>-176.40990625000012</v>
      </c>
      <c r="K43" s="387"/>
      <c r="L43" s="328">
        <f>L9-L42</f>
        <v>-271.78501691761352</v>
      </c>
      <c r="M43" s="329"/>
      <c r="N43" s="398">
        <f>N9-N42</f>
        <v>-152.73033812499989</v>
      </c>
      <c r="O43" s="329"/>
      <c r="P43" s="398">
        <f>P9-P42</f>
        <v>-91.152944484374984</v>
      </c>
      <c r="Q43" s="399"/>
      <c r="R43" s="329">
        <f>R9-R42</f>
        <v>-83.618862468749967</v>
      </c>
      <c r="S43" s="399"/>
      <c r="T43" s="329">
        <f>T9-T42</f>
        <v>-60.694129718749934</v>
      </c>
      <c r="U43" s="340"/>
      <c r="V43" s="90"/>
    </row>
    <row r="44" spans="1:34" ht="15" thickTop="1" x14ac:dyDescent="0.2">
      <c r="A44" s="95"/>
      <c r="B44" s="131"/>
      <c r="C44" s="132"/>
      <c r="D44" s="236"/>
      <c r="E44" s="132"/>
      <c r="F44" s="236"/>
      <c r="G44" s="237"/>
      <c r="H44" s="132"/>
      <c r="I44" s="237"/>
      <c r="J44" s="132"/>
      <c r="K44" s="133"/>
      <c r="L44" s="132"/>
      <c r="M44" s="132"/>
      <c r="N44" s="236"/>
      <c r="O44" s="132"/>
      <c r="P44" s="236"/>
      <c r="Q44" s="237"/>
      <c r="R44" s="132"/>
      <c r="S44" s="237"/>
      <c r="T44" s="132"/>
      <c r="U44" s="134"/>
      <c r="V44" s="90"/>
    </row>
    <row r="45" spans="1:34" x14ac:dyDescent="0.2">
      <c r="A45" s="117" t="s">
        <v>34</v>
      </c>
      <c r="B45" s="135">
        <f>B42/B7</f>
        <v>0.87982608172348475</v>
      </c>
      <c r="C45" s="136" t="s">
        <v>159</v>
      </c>
      <c r="D45" s="221">
        <f>D42/D7*2000</f>
        <v>446.33152952127659</v>
      </c>
      <c r="E45" s="119" t="s">
        <v>160</v>
      </c>
      <c r="F45" s="222">
        <f>F42/F7</f>
        <v>5.1183424375000008</v>
      </c>
      <c r="G45" s="217" t="s">
        <v>162</v>
      </c>
      <c r="H45" s="137">
        <f>H42/H7</f>
        <v>9.4645693802083315</v>
      </c>
      <c r="I45" s="217" t="s">
        <v>162</v>
      </c>
      <c r="J45" s="137">
        <f>J42/J7</f>
        <v>6.5400990625000013</v>
      </c>
      <c r="K45" s="121" t="s">
        <v>162</v>
      </c>
      <c r="L45" s="137">
        <f>L42/L7</f>
        <v>1.0373800225568182</v>
      </c>
      <c r="M45" s="136" t="s">
        <v>159</v>
      </c>
      <c r="N45" s="221">
        <f>N42/N7*2000</f>
        <v>489.841375367647</v>
      </c>
      <c r="O45" s="119" t="s">
        <v>160</v>
      </c>
      <c r="P45" s="222">
        <f>P42/P7</f>
        <v>5.8723875821691172</v>
      </c>
      <c r="Q45" s="217" t="s">
        <v>162</v>
      </c>
      <c r="R45" s="137">
        <f>R42/R7</f>
        <v>12.287295415625</v>
      </c>
      <c r="S45" s="217" t="s">
        <v>162</v>
      </c>
      <c r="T45" s="137">
        <f>T42/T7</f>
        <v>5.7097558418269223</v>
      </c>
      <c r="U45" s="122" t="s">
        <v>162</v>
      </c>
      <c r="V45" s="90"/>
    </row>
    <row r="46" spans="1:34" x14ac:dyDescent="0.2">
      <c r="A46" s="138" t="s">
        <v>168</v>
      </c>
      <c r="B46" s="139">
        <f>B42/B8</f>
        <v>1564.1352563973062</v>
      </c>
      <c r="C46" s="140" t="s">
        <v>158</v>
      </c>
      <c r="D46" s="224">
        <f>D42/D8*2000</f>
        <v>5244.3954718750001</v>
      </c>
      <c r="E46" s="140" t="s">
        <v>158</v>
      </c>
      <c r="F46" s="225">
        <f>F42/F8</f>
        <v>213.2642682291667</v>
      </c>
      <c r="G46" s="217" t="s">
        <v>161</v>
      </c>
      <c r="H46" s="141">
        <f>H42/H8</f>
        <v>59.776227664473673</v>
      </c>
      <c r="I46" s="217" t="s">
        <v>161</v>
      </c>
      <c r="J46" s="141">
        <f>J42/J8</f>
        <v>136.93674753978226</v>
      </c>
      <c r="K46" s="121" t="s">
        <v>161</v>
      </c>
      <c r="L46" s="141">
        <f>L42/L8</f>
        <v>1152.6444695075756</v>
      </c>
      <c r="M46" s="140" t="s">
        <v>158</v>
      </c>
      <c r="N46" s="224">
        <f>N42/N8*2000</f>
        <v>4163.6516906249999</v>
      </c>
      <c r="O46" s="140" t="s">
        <v>158</v>
      </c>
      <c r="P46" s="225">
        <f>P42/P8</f>
        <v>103.99019676757813</v>
      </c>
      <c r="Q46" s="217" t="s">
        <v>161</v>
      </c>
      <c r="R46" s="141">
        <f>R42/R8</f>
        <v>38.80198552302631</v>
      </c>
      <c r="S46" s="217" t="s">
        <v>161</v>
      </c>
      <c r="T46" s="141">
        <f>T42/T8</f>
        <v>77.708151113641108</v>
      </c>
      <c r="U46" s="122" t="s">
        <v>161</v>
      </c>
      <c r="V46" s="90"/>
    </row>
    <row r="47" spans="1:34" s="87" customFormat="1" ht="12" x14ac:dyDescent="0.15">
      <c r="A47" s="396" t="s">
        <v>177</v>
      </c>
      <c r="B47" s="396"/>
      <c r="C47" s="396"/>
      <c r="D47" s="396"/>
      <c r="E47" s="396"/>
      <c r="F47" s="143"/>
      <c r="G47" s="143"/>
      <c r="H47" s="143"/>
      <c r="I47" s="142"/>
      <c r="J47" s="143"/>
      <c r="K47" s="143"/>
      <c r="L47" s="143"/>
      <c r="M47" s="143"/>
      <c r="N47" s="143"/>
      <c r="O47" s="143"/>
      <c r="P47" s="143"/>
      <c r="Q47" s="143"/>
      <c r="R47" s="143"/>
      <c r="S47" s="143"/>
      <c r="T47" s="143"/>
      <c r="U47" s="86"/>
      <c r="V47" s="86"/>
      <c r="W47" s="86"/>
      <c r="X47" s="86"/>
      <c r="Y47" s="86"/>
      <c r="Z47" s="86"/>
      <c r="AA47" s="86"/>
      <c r="AB47" s="86"/>
      <c r="AC47" s="86"/>
      <c r="AD47" s="86"/>
      <c r="AE47" s="86"/>
      <c r="AF47" s="86"/>
      <c r="AG47" s="86"/>
      <c r="AH47" s="86"/>
    </row>
    <row r="48" spans="1:34" s="87" customFormat="1" ht="12" x14ac:dyDescent="0.15">
      <c r="A48" s="86" t="s">
        <v>178</v>
      </c>
      <c r="B48" s="86"/>
      <c r="C48" s="144" t="s">
        <v>169</v>
      </c>
      <c r="D48" s="216">
        <f>Conventional!D46</f>
        <v>0.75</v>
      </c>
      <c r="E48" s="145" t="s">
        <v>65</v>
      </c>
      <c r="F48" s="226">
        <f>Conventional!F46</f>
        <v>0.75</v>
      </c>
      <c r="G48" s="145" t="s">
        <v>66</v>
      </c>
      <c r="H48" s="226">
        <f>Conventional!H46</f>
        <v>0.4</v>
      </c>
      <c r="I48" s="86"/>
      <c r="J48" s="226"/>
      <c r="K48" s="216"/>
      <c r="L48" s="86"/>
      <c r="M48" s="86"/>
      <c r="N48" s="226"/>
      <c r="O48" s="216"/>
      <c r="P48" s="86"/>
      <c r="Q48" s="86"/>
      <c r="R48" s="86"/>
      <c r="S48" s="86"/>
      <c r="T48" s="86"/>
      <c r="U48" s="86"/>
      <c r="V48" s="86"/>
      <c r="W48" s="86"/>
      <c r="X48" s="86"/>
      <c r="Y48" s="86"/>
      <c r="Z48" s="86"/>
      <c r="AA48" s="86"/>
      <c r="AB48" s="86"/>
      <c r="AC48" s="86"/>
      <c r="AD48" s="86"/>
      <c r="AE48" s="86"/>
      <c r="AF48" s="86"/>
      <c r="AG48" s="86"/>
      <c r="AH48" s="86"/>
    </row>
    <row r="49" spans="1:34" s="87" customFormat="1" ht="12" x14ac:dyDescent="0.15">
      <c r="A49" s="312" t="str">
        <f>Conventional!A48</f>
        <v>*** Weighted average of diesel and electric irrigation application costs.  Electric is estimated at $9/appl and diesel is estimated at $12/appl when diesel cost $3/gal.</v>
      </c>
      <c r="B49" s="312"/>
      <c r="C49" s="312"/>
      <c r="D49" s="312"/>
      <c r="E49" s="312"/>
      <c r="F49" s="312"/>
      <c r="G49" s="312"/>
      <c r="H49" s="312"/>
      <c r="I49" s="312"/>
      <c r="J49" s="312"/>
      <c r="K49" s="312"/>
      <c r="L49" s="312"/>
      <c r="M49" s="312"/>
      <c r="N49" s="312"/>
      <c r="O49" s="312"/>
      <c r="P49" s="312"/>
      <c r="Q49" s="312"/>
      <c r="R49" s="312"/>
      <c r="S49" s="312"/>
      <c r="T49" s="312"/>
      <c r="U49" s="146"/>
      <c r="V49" s="86"/>
      <c r="W49" s="86"/>
      <c r="X49" s="86"/>
      <c r="Y49" s="86"/>
      <c r="Z49" s="86"/>
      <c r="AA49" s="86"/>
      <c r="AB49" s="86"/>
      <c r="AC49" s="86"/>
      <c r="AD49" s="86"/>
      <c r="AE49" s="86"/>
      <c r="AF49" s="86"/>
      <c r="AG49" s="86"/>
      <c r="AH49" s="86"/>
    </row>
    <row r="50" spans="1:34" s="87" customFormat="1" ht="12" x14ac:dyDescent="0.15">
      <c r="A50" s="86" t="s">
        <v>152</v>
      </c>
      <c r="B50" s="147">
        <f>Conventional!B47</f>
        <v>3</v>
      </c>
      <c r="C50" s="312" t="s">
        <v>67</v>
      </c>
      <c r="D50" s="312"/>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row>
    <row r="51" spans="1:34" s="90" customFormat="1" x14ac:dyDescent="0.2">
      <c r="A51" s="86"/>
    </row>
    <row r="52" spans="1:34" s="90" customFormat="1" x14ac:dyDescent="0.2">
      <c r="A52" s="86"/>
    </row>
    <row r="53" spans="1:34" s="90" customFormat="1" x14ac:dyDescent="0.2">
      <c r="A53" s="86"/>
    </row>
    <row r="54" spans="1:34" s="90" customFormat="1" x14ac:dyDescent="0.2">
      <c r="A54" s="86"/>
    </row>
    <row r="55" spans="1:34" s="90" customFormat="1" x14ac:dyDescent="0.2">
      <c r="A55" s="86"/>
    </row>
    <row r="56" spans="1:34" s="90" customFormat="1" x14ac:dyDescent="0.2">
      <c r="A56" s="86"/>
    </row>
    <row r="57" spans="1:34" s="90" customFormat="1" x14ac:dyDescent="0.2">
      <c r="A57" s="86"/>
    </row>
    <row r="58" spans="1:34" s="90" customFormat="1" x14ac:dyDescent="0.2">
      <c r="A58" s="86"/>
    </row>
    <row r="59" spans="1:34" s="90" customFormat="1" x14ac:dyDescent="0.2">
      <c r="A59" s="86"/>
    </row>
    <row r="60" spans="1:34" s="90" customFormat="1" x14ac:dyDescent="0.2">
      <c r="A60" s="86"/>
    </row>
    <row r="61" spans="1:34" s="90" customFormat="1" x14ac:dyDescent="0.2">
      <c r="A61" s="86"/>
    </row>
    <row r="62" spans="1:34" s="90" customFormat="1" x14ac:dyDescent="0.2">
      <c r="A62" s="86"/>
    </row>
    <row r="63" spans="1:34" s="90" customFormat="1" x14ac:dyDescent="0.2">
      <c r="A63" s="86"/>
    </row>
    <row r="64" spans="1:34" s="90" customFormat="1" x14ac:dyDescent="0.2">
      <c r="A64" s="86"/>
    </row>
    <row r="65" spans="1:1" s="90" customFormat="1" x14ac:dyDescent="0.2">
      <c r="A65" s="86"/>
    </row>
    <row r="66" spans="1:1" s="90" customFormat="1" x14ac:dyDescent="0.2">
      <c r="A66" s="86"/>
    </row>
    <row r="67" spans="1:1" s="90" customFormat="1" x14ac:dyDescent="0.2">
      <c r="A67" s="86"/>
    </row>
    <row r="68" spans="1:1" s="90" customFormat="1" x14ac:dyDescent="0.2">
      <c r="A68" s="86"/>
    </row>
    <row r="69" spans="1:1" s="90" customFormat="1" x14ac:dyDescent="0.2">
      <c r="A69" s="86"/>
    </row>
    <row r="70" spans="1:1" s="90" customFormat="1" x14ac:dyDescent="0.2">
      <c r="A70" s="86"/>
    </row>
    <row r="71" spans="1:1" s="90" customFormat="1" x14ac:dyDescent="0.2">
      <c r="A71" s="86"/>
    </row>
    <row r="72" spans="1:1" s="90" customFormat="1" x14ac:dyDescent="0.2">
      <c r="A72" s="86"/>
    </row>
    <row r="73" spans="1:1" s="90" customFormat="1" x14ac:dyDescent="0.2">
      <c r="A73" s="86"/>
    </row>
    <row r="74" spans="1:1" s="90" customFormat="1" x14ac:dyDescent="0.2">
      <c r="A74" s="86"/>
    </row>
    <row r="75" spans="1:1" s="90" customFormat="1" x14ac:dyDescent="0.2">
      <c r="A75" s="86"/>
    </row>
    <row r="76" spans="1:1" s="90" customFormat="1" x14ac:dyDescent="0.2">
      <c r="A76" s="86"/>
    </row>
    <row r="77" spans="1:1" s="90" customFormat="1" x14ac:dyDescent="0.2">
      <c r="A77" s="86"/>
    </row>
    <row r="78" spans="1:1" s="90" customFormat="1" x14ac:dyDescent="0.2">
      <c r="A78" s="86"/>
    </row>
    <row r="79" spans="1:1" s="90" customFormat="1" x14ac:dyDescent="0.2">
      <c r="A79" s="86"/>
    </row>
    <row r="80" spans="1:1" s="90" customFormat="1" x14ac:dyDescent="0.2">
      <c r="A80" s="86"/>
    </row>
    <row r="81" spans="1:1" s="90" customFormat="1" x14ac:dyDescent="0.2">
      <c r="A81" s="86"/>
    </row>
    <row r="82" spans="1:1" s="90" customFormat="1" x14ac:dyDescent="0.2">
      <c r="A82" s="86"/>
    </row>
    <row r="83" spans="1:1" s="90" customFormat="1" x14ac:dyDescent="0.2">
      <c r="A83" s="86"/>
    </row>
    <row r="84" spans="1:1" s="90" customFormat="1" x14ac:dyDescent="0.2">
      <c r="A84" s="86"/>
    </row>
    <row r="85" spans="1:1" s="90" customFormat="1" x14ac:dyDescent="0.2">
      <c r="A85" s="86"/>
    </row>
    <row r="86" spans="1:1" s="90" customFormat="1" x14ac:dyDescent="0.2">
      <c r="A86" s="86"/>
    </row>
    <row r="87" spans="1:1" s="90" customFormat="1" x14ac:dyDescent="0.2">
      <c r="A87" s="86"/>
    </row>
    <row r="88" spans="1:1" s="90" customFormat="1" x14ac:dyDescent="0.2">
      <c r="A88" s="86"/>
    </row>
    <row r="89" spans="1:1" s="90" customFormat="1" x14ac:dyDescent="0.2">
      <c r="A89" s="86"/>
    </row>
    <row r="90" spans="1:1" s="90" customFormat="1" x14ac:dyDescent="0.2">
      <c r="A90" s="86"/>
    </row>
    <row r="91" spans="1:1" s="90" customFormat="1" x14ac:dyDescent="0.2">
      <c r="A91" s="86"/>
    </row>
    <row r="92" spans="1:1" s="90" customFormat="1" x14ac:dyDescent="0.2">
      <c r="A92" s="86"/>
    </row>
    <row r="93" spans="1:1" s="90" customFormat="1" x14ac:dyDescent="0.2">
      <c r="A93" s="86"/>
    </row>
    <row r="94" spans="1:1" s="90" customFormat="1" x14ac:dyDescent="0.2">
      <c r="A94" s="86"/>
    </row>
    <row r="95" spans="1:1" s="90" customFormat="1" x14ac:dyDescent="0.2">
      <c r="A95" s="86"/>
    </row>
    <row r="96" spans="1:1" s="90" customFormat="1" x14ac:dyDescent="0.2">
      <c r="A96" s="86"/>
    </row>
    <row r="97" spans="1:1" s="90" customFormat="1" x14ac:dyDescent="0.2">
      <c r="A97" s="86"/>
    </row>
    <row r="98" spans="1:1" s="90" customFormat="1" x14ac:dyDescent="0.2">
      <c r="A98" s="86"/>
    </row>
    <row r="99" spans="1:1" s="90" customFormat="1" x14ac:dyDescent="0.2">
      <c r="A99" s="86"/>
    </row>
    <row r="100" spans="1:1" s="90" customFormat="1" x14ac:dyDescent="0.2">
      <c r="A100" s="86"/>
    </row>
    <row r="101" spans="1:1" s="90" customFormat="1" x14ac:dyDescent="0.2">
      <c r="A101" s="86"/>
    </row>
    <row r="102" spans="1:1" s="90" customFormat="1" x14ac:dyDescent="0.2">
      <c r="A102" s="86"/>
    </row>
    <row r="103" spans="1:1" s="90" customFormat="1" x14ac:dyDescent="0.2">
      <c r="A103" s="86"/>
    </row>
    <row r="104" spans="1:1" s="90" customFormat="1" x14ac:dyDescent="0.2">
      <c r="A104" s="86"/>
    </row>
    <row r="105" spans="1:1" s="90" customFormat="1" x14ac:dyDescent="0.2">
      <c r="A105" s="86"/>
    </row>
    <row r="106" spans="1:1" s="90" customFormat="1" x14ac:dyDescent="0.2">
      <c r="A106" s="86"/>
    </row>
    <row r="107" spans="1:1" s="90" customFormat="1" x14ac:dyDescent="0.2">
      <c r="A107" s="86"/>
    </row>
    <row r="108" spans="1:1" s="90" customFormat="1" x14ac:dyDescent="0.2">
      <c r="A108" s="86"/>
    </row>
    <row r="109" spans="1:1" s="90" customFormat="1" x14ac:dyDescent="0.2">
      <c r="A109" s="86"/>
    </row>
    <row r="110" spans="1:1" s="90" customFormat="1" x14ac:dyDescent="0.2">
      <c r="A110" s="86"/>
    </row>
    <row r="111" spans="1:1" s="90" customFormat="1" x14ac:dyDescent="0.2">
      <c r="A111" s="86"/>
    </row>
    <row r="112" spans="1:1" s="90" customFormat="1" x14ac:dyDescent="0.2">
      <c r="A112" s="86"/>
    </row>
    <row r="113" spans="1:1" s="90" customFormat="1" x14ac:dyDescent="0.2">
      <c r="A113" s="86"/>
    </row>
    <row r="114" spans="1:1" s="90" customFormat="1" x14ac:dyDescent="0.2">
      <c r="A114" s="86"/>
    </row>
    <row r="115" spans="1:1" s="90" customFormat="1" x14ac:dyDescent="0.2">
      <c r="A115" s="86"/>
    </row>
    <row r="116" spans="1:1" s="90" customFormat="1" x14ac:dyDescent="0.2">
      <c r="A116" s="86"/>
    </row>
    <row r="117" spans="1:1" s="90" customFormat="1" x14ac:dyDescent="0.2">
      <c r="A117" s="86"/>
    </row>
    <row r="118" spans="1:1" s="90" customFormat="1" x14ac:dyDescent="0.2">
      <c r="A118" s="86"/>
    </row>
    <row r="119" spans="1:1" s="90" customFormat="1" x14ac:dyDescent="0.2">
      <c r="A119" s="86"/>
    </row>
    <row r="120" spans="1:1" s="90" customFormat="1" x14ac:dyDescent="0.2">
      <c r="A120" s="86"/>
    </row>
    <row r="121" spans="1:1" s="90" customFormat="1" x14ac:dyDescent="0.2">
      <c r="A121" s="86"/>
    </row>
    <row r="122" spans="1:1" s="90" customFormat="1" x14ac:dyDescent="0.2">
      <c r="A122" s="86"/>
    </row>
    <row r="123" spans="1:1" s="90" customFormat="1" x14ac:dyDescent="0.2">
      <c r="A123" s="86"/>
    </row>
    <row r="124" spans="1:1" s="90" customFormat="1" x14ac:dyDescent="0.2">
      <c r="A124" s="86"/>
    </row>
    <row r="125" spans="1:1" s="90" customFormat="1" x14ac:dyDescent="0.2">
      <c r="A125" s="86"/>
    </row>
    <row r="126" spans="1:1" s="90" customFormat="1" x14ac:dyDescent="0.2">
      <c r="A126" s="86"/>
    </row>
    <row r="127" spans="1:1" s="90" customFormat="1" x14ac:dyDescent="0.2">
      <c r="A127" s="86"/>
    </row>
    <row r="128" spans="1:1" s="90" customFormat="1" x14ac:dyDescent="0.2">
      <c r="A128" s="86"/>
    </row>
    <row r="129" spans="1:1" s="90" customFormat="1" x14ac:dyDescent="0.2">
      <c r="A129" s="86"/>
    </row>
    <row r="130" spans="1:1" s="90" customFormat="1" x14ac:dyDescent="0.2">
      <c r="A130" s="86"/>
    </row>
    <row r="131" spans="1:1" s="90" customFormat="1" x14ac:dyDescent="0.2">
      <c r="A131" s="86"/>
    </row>
    <row r="132" spans="1:1" s="90" customFormat="1" x14ac:dyDescent="0.2">
      <c r="A132" s="86"/>
    </row>
    <row r="133" spans="1:1" s="90" customFormat="1" x14ac:dyDescent="0.2">
      <c r="A133" s="86"/>
    </row>
    <row r="134" spans="1:1" s="90" customFormat="1" x14ac:dyDescent="0.2">
      <c r="A134" s="86"/>
    </row>
    <row r="135" spans="1:1" s="90" customFormat="1" x14ac:dyDescent="0.2">
      <c r="A135" s="86"/>
    </row>
    <row r="136" spans="1:1" s="90" customFormat="1" x14ac:dyDescent="0.2">
      <c r="A136" s="86"/>
    </row>
    <row r="137" spans="1:1" s="90" customFormat="1" x14ac:dyDescent="0.2">
      <c r="A137" s="86"/>
    </row>
    <row r="138" spans="1:1" s="90" customFormat="1" x14ac:dyDescent="0.2">
      <c r="A138" s="86"/>
    </row>
    <row r="139" spans="1:1" s="90" customFormat="1" x14ac:dyDescent="0.2">
      <c r="A139" s="86"/>
    </row>
    <row r="140" spans="1:1" s="90" customFormat="1" x14ac:dyDescent="0.2">
      <c r="A140" s="86"/>
    </row>
    <row r="141" spans="1:1" s="90" customFormat="1" x14ac:dyDescent="0.2">
      <c r="A141" s="86"/>
    </row>
    <row r="142" spans="1:1" s="90" customFormat="1" x14ac:dyDescent="0.2">
      <c r="A142" s="86"/>
    </row>
    <row r="143" spans="1:1" s="90" customFormat="1" x14ac:dyDescent="0.2">
      <c r="A143" s="86"/>
    </row>
    <row r="144" spans="1:1" s="90" customFormat="1" x14ac:dyDescent="0.2">
      <c r="A144" s="86"/>
    </row>
    <row r="145" spans="1:1" s="90" customFormat="1" x14ac:dyDescent="0.2">
      <c r="A145" s="86"/>
    </row>
    <row r="146" spans="1:1" s="90" customFormat="1" x14ac:dyDescent="0.2">
      <c r="A146" s="86"/>
    </row>
    <row r="147" spans="1:1" s="90" customFormat="1" x14ac:dyDescent="0.2">
      <c r="A147" s="86"/>
    </row>
    <row r="148" spans="1:1" s="90" customFormat="1" x14ac:dyDescent="0.2">
      <c r="A148" s="86"/>
    </row>
    <row r="149" spans="1:1" s="90" customFormat="1" x14ac:dyDescent="0.2">
      <c r="A149" s="86"/>
    </row>
    <row r="150" spans="1:1" s="90" customFormat="1" x14ac:dyDescent="0.2">
      <c r="A150" s="86"/>
    </row>
    <row r="151" spans="1:1" s="90" customFormat="1" x14ac:dyDescent="0.2">
      <c r="A151" s="86"/>
    </row>
    <row r="152" spans="1:1" s="90" customFormat="1" x14ac:dyDescent="0.2">
      <c r="A152" s="86"/>
    </row>
    <row r="153" spans="1:1" s="90" customFormat="1" x14ac:dyDescent="0.2">
      <c r="A153" s="86"/>
    </row>
    <row r="154" spans="1:1" s="90" customFormat="1" x14ac:dyDescent="0.2">
      <c r="A154" s="86"/>
    </row>
    <row r="155" spans="1:1" s="90" customFormat="1" x14ac:dyDescent="0.2">
      <c r="A155" s="86"/>
    </row>
    <row r="156" spans="1:1" s="90" customFormat="1" x14ac:dyDescent="0.2">
      <c r="A156" s="86"/>
    </row>
    <row r="157" spans="1:1" s="90" customFormat="1" x14ac:dyDescent="0.2">
      <c r="A157" s="86"/>
    </row>
    <row r="158" spans="1:1" s="90" customFormat="1" x14ac:dyDescent="0.2">
      <c r="A158" s="86"/>
    </row>
    <row r="159" spans="1:1" s="90" customFormat="1" x14ac:dyDescent="0.2">
      <c r="A159" s="86"/>
    </row>
    <row r="160" spans="1:1" s="90" customFormat="1" x14ac:dyDescent="0.2">
      <c r="A160" s="86"/>
    </row>
    <row r="161" spans="1:1" s="90" customFormat="1" x14ac:dyDescent="0.2">
      <c r="A161" s="86"/>
    </row>
    <row r="162" spans="1:1" s="90" customFormat="1" x14ac:dyDescent="0.2">
      <c r="A162" s="86"/>
    </row>
    <row r="163" spans="1:1" s="90" customFormat="1" x14ac:dyDescent="0.2">
      <c r="A163" s="86"/>
    </row>
    <row r="164" spans="1:1" s="90" customFormat="1" x14ac:dyDescent="0.2">
      <c r="A164" s="86"/>
    </row>
    <row r="165" spans="1:1" s="90" customFormat="1" x14ac:dyDescent="0.2">
      <c r="A165" s="86"/>
    </row>
    <row r="166" spans="1:1" s="90" customFormat="1" x14ac:dyDescent="0.2">
      <c r="A166" s="86"/>
    </row>
    <row r="167" spans="1:1" s="90" customFormat="1" x14ac:dyDescent="0.2">
      <c r="A167" s="86"/>
    </row>
    <row r="168" spans="1:1" s="90" customFormat="1" x14ac:dyDescent="0.2">
      <c r="A168" s="86"/>
    </row>
    <row r="169" spans="1:1" s="90" customFormat="1" x14ac:dyDescent="0.2">
      <c r="A169" s="86"/>
    </row>
    <row r="170" spans="1:1" s="90" customFormat="1" x14ac:dyDescent="0.2">
      <c r="A170" s="86"/>
    </row>
    <row r="171" spans="1:1" s="90" customFormat="1" x14ac:dyDescent="0.2">
      <c r="A171" s="86"/>
    </row>
    <row r="172" spans="1:1" s="90" customFormat="1" x14ac:dyDescent="0.2">
      <c r="A172" s="86"/>
    </row>
    <row r="173" spans="1:1" s="90" customFormat="1" x14ac:dyDescent="0.2">
      <c r="A173" s="86"/>
    </row>
    <row r="174" spans="1:1" s="90" customFormat="1" x14ac:dyDescent="0.2">
      <c r="A174" s="86"/>
    </row>
    <row r="175" spans="1:1" s="90" customFormat="1" x14ac:dyDescent="0.2">
      <c r="A175" s="86"/>
    </row>
    <row r="176" spans="1:1" s="90" customFormat="1" x14ac:dyDescent="0.2">
      <c r="A176" s="86"/>
    </row>
    <row r="177" spans="1:1" s="90" customFormat="1" x14ac:dyDescent="0.2">
      <c r="A177" s="86"/>
    </row>
    <row r="178" spans="1:1" s="90" customFormat="1" x14ac:dyDescent="0.2">
      <c r="A178" s="86"/>
    </row>
    <row r="179" spans="1:1" s="90" customFormat="1" x14ac:dyDescent="0.2">
      <c r="A179" s="86"/>
    </row>
    <row r="180" spans="1:1" s="90" customFormat="1" x14ac:dyDescent="0.2">
      <c r="A180" s="86"/>
    </row>
    <row r="181" spans="1:1" s="90" customFormat="1" x14ac:dyDescent="0.2">
      <c r="A181" s="86"/>
    </row>
    <row r="182" spans="1:1" s="90" customFormat="1" x14ac:dyDescent="0.2">
      <c r="A182" s="86"/>
    </row>
    <row r="183" spans="1:1" s="90" customFormat="1" x14ac:dyDescent="0.2">
      <c r="A183" s="86"/>
    </row>
    <row r="184" spans="1:1" s="90" customFormat="1" x14ac:dyDescent="0.2">
      <c r="A184" s="86"/>
    </row>
    <row r="185" spans="1:1" s="90" customFormat="1" x14ac:dyDescent="0.2">
      <c r="A185" s="86"/>
    </row>
    <row r="186" spans="1:1" s="90" customFormat="1" x14ac:dyDescent="0.2">
      <c r="A186" s="86"/>
    </row>
    <row r="187" spans="1:1" s="90" customFormat="1" x14ac:dyDescent="0.2">
      <c r="A187" s="86"/>
    </row>
    <row r="188" spans="1:1" s="90" customFormat="1" x14ac:dyDescent="0.2">
      <c r="A188" s="86"/>
    </row>
    <row r="189" spans="1:1" s="90" customFormat="1" x14ac:dyDescent="0.2">
      <c r="A189" s="86"/>
    </row>
    <row r="190" spans="1:1" s="90" customFormat="1" x14ac:dyDescent="0.2">
      <c r="A190" s="86"/>
    </row>
    <row r="191" spans="1:1" s="90" customFormat="1" x14ac:dyDescent="0.2">
      <c r="A191" s="86"/>
    </row>
    <row r="192" spans="1:1" s="90" customFormat="1" x14ac:dyDescent="0.2">
      <c r="A192" s="86"/>
    </row>
    <row r="193" spans="1:1" s="90" customFormat="1" x14ac:dyDescent="0.2">
      <c r="A193" s="86"/>
    </row>
    <row r="194" spans="1:1" s="90" customFormat="1" x14ac:dyDescent="0.2">
      <c r="A194" s="86"/>
    </row>
    <row r="195" spans="1:1" s="90" customFormat="1" x14ac:dyDescent="0.2">
      <c r="A195" s="86"/>
    </row>
    <row r="196" spans="1:1" s="90" customFormat="1" x14ac:dyDescent="0.2">
      <c r="A196" s="86"/>
    </row>
    <row r="197" spans="1:1" s="90" customFormat="1" x14ac:dyDescent="0.2">
      <c r="A197" s="86"/>
    </row>
    <row r="198" spans="1:1" s="90" customFormat="1" x14ac:dyDescent="0.2">
      <c r="A198" s="86"/>
    </row>
    <row r="199" spans="1:1" s="90" customFormat="1" x14ac:dyDescent="0.2">
      <c r="A199" s="86"/>
    </row>
    <row r="200" spans="1:1" s="90" customFormat="1" x14ac:dyDescent="0.2">
      <c r="A200" s="86"/>
    </row>
    <row r="201" spans="1:1" s="90" customFormat="1" x14ac:dyDescent="0.2">
      <c r="A201" s="86"/>
    </row>
    <row r="202" spans="1:1" s="90" customFormat="1" x14ac:dyDescent="0.2">
      <c r="A202" s="86"/>
    </row>
    <row r="203" spans="1:1" s="90" customFormat="1" x14ac:dyDescent="0.2">
      <c r="A203" s="86"/>
    </row>
    <row r="204" spans="1:1" s="90" customFormat="1" x14ac:dyDescent="0.2">
      <c r="A204" s="86"/>
    </row>
    <row r="205" spans="1:1" s="90" customFormat="1" x14ac:dyDescent="0.2">
      <c r="A205" s="86"/>
    </row>
    <row r="206" spans="1:1" s="90" customFormat="1" x14ac:dyDescent="0.2">
      <c r="A206" s="86"/>
    </row>
    <row r="207" spans="1:1" s="90" customFormat="1" x14ac:dyDescent="0.2">
      <c r="A207" s="86"/>
    </row>
    <row r="208" spans="1:1" s="90" customFormat="1" x14ac:dyDescent="0.2">
      <c r="A208" s="86"/>
    </row>
    <row r="209" spans="1:1" s="90" customFormat="1" x14ac:dyDescent="0.2">
      <c r="A209" s="86"/>
    </row>
    <row r="210" spans="1:1" s="90" customFormat="1" x14ac:dyDescent="0.2">
      <c r="A210" s="86"/>
    </row>
    <row r="211" spans="1:1" s="90" customFormat="1" x14ac:dyDescent="0.2">
      <c r="A211" s="86"/>
    </row>
    <row r="212" spans="1:1" s="90" customFormat="1" x14ac:dyDescent="0.2">
      <c r="A212" s="86"/>
    </row>
    <row r="213" spans="1:1" s="90" customFormat="1" x14ac:dyDescent="0.2">
      <c r="A213" s="86"/>
    </row>
    <row r="214" spans="1:1" s="90" customFormat="1" x14ac:dyDescent="0.2">
      <c r="A214" s="86"/>
    </row>
    <row r="215" spans="1:1" s="90" customFormat="1" x14ac:dyDescent="0.2">
      <c r="A215" s="86"/>
    </row>
    <row r="216" spans="1:1" s="90" customFormat="1" x14ac:dyDescent="0.2">
      <c r="A216" s="86"/>
    </row>
    <row r="217" spans="1:1" s="90" customFormat="1" x14ac:dyDescent="0.2">
      <c r="A217" s="86"/>
    </row>
    <row r="218" spans="1:1" s="90" customFormat="1" x14ac:dyDescent="0.2">
      <c r="A218" s="86"/>
    </row>
  </sheetData>
  <sheetProtection sheet="1" objects="1" scenarios="1"/>
  <mergeCells count="229">
    <mergeCell ref="J1:U2"/>
    <mergeCell ref="R25:S25"/>
    <mergeCell ref="T25:U25"/>
    <mergeCell ref="J25:K25"/>
    <mergeCell ref="H25:I25"/>
    <mergeCell ref="F25:G25"/>
    <mergeCell ref="D25:E25"/>
    <mergeCell ref="B25:C25"/>
    <mergeCell ref="D19:E19"/>
    <mergeCell ref="N19:O19"/>
    <mergeCell ref="L19:M19"/>
    <mergeCell ref="L21:M21"/>
    <mergeCell ref="L23:M23"/>
    <mergeCell ref="D24:E24"/>
    <mergeCell ref="D23:E23"/>
    <mergeCell ref="D22:E22"/>
    <mergeCell ref="D21:E21"/>
    <mergeCell ref="B23:C23"/>
    <mergeCell ref="B24:C24"/>
    <mergeCell ref="H21:I21"/>
    <mergeCell ref="H22:I22"/>
    <mergeCell ref="H23:I23"/>
    <mergeCell ref="H24:I24"/>
    <mergeCell ref="B21:C21"/>
    <mergeCell ref="B22:C22"/>
    <mergeCell ref="R9:S9"/>
    <mergeCell ref="T9:U9"/>
    <mergeCell ref="T11:U11"/>
    <mergeCell ref="B11:C11"/>
    <mergeCell ref="D11:E11"/>
    <mergeCell ref="F11:G11"/>
    <mergeCell ref="H11:I11"/>
    <mergeCell ref="D18:E18"/>
    <mergeCell ref="N18:O18"/>
    <mergeCell ref="J11:K11"/>
    <mergeCell ref="R12:S12"/>
    <mergeCell ref="L14:M14"/>
    <mergeCell ref="R11:S11"/>
    <mergeCell ref="P12:Q12"/>
    <mergeCell ref="L11:M11"/>
    <mergeCell ref="N11:O11"/>
    <mergeCell ref="P11:Q11"/>
    <mergeCell ref="H12:I12"/>
    <mergeCell ref="J12:K12"/>
    <mergeCell ref="F16:G16"/>
    <mergeCell ref="H16:I16"/>
    <mergeCell ref="J16:K16"/>
    <mergeCell ref="H14:I14"/>
    <mergeCell ref="F14:G14"/>
    <mergeCell ref="B4:J4"/>
    <mergeCell ref="L4:T4"/>
    <mergeCell ref="B6:C6"/>
    <mergeCell ref="D6:E6"/>
    <mergeCell ref="F6:G6"/>
    <mergeCell ref="H6:I6"/>
    <mergeCell ref="J5:K5"/>
    <mergeCell ref="T12:U12"/>
    <mergeCell ref="L13:M13"/>
    <mergeCell ref="B12:C12"/>
    <mergeCell ref="D12:E12"/>
    <mergeCell ref="F12:G12"/>
    <mergeCell ref="N9:O9"/>
    <mergeCell ref="P9:Q9"/>
    <mergeCell ref="J6:K6"/>
    <mergeCell ref="L6:M6"/>
    <mergeCell ref="N6:O6"/>
    <mergeCell ref="P6:Q6"/>
    <mergeCell ref="R6:S6"/>
    <mergeCell ref="T5:U5"/>
    <mergeCell ref="T6:U6"/>
    <mergeCell ref="L9:M9"/>
    <mergeCell ref="L12:M12"/>
    <mergeCell ref="N12:O12"/>
    <mergeCell ref="D14:E14"/>
    <mergeCell ref="J14:K14"/>
    <mergeCell ref="B9:C9"/>
    <mergeCell ref="D9:E9"/>
    <mergeCell ref="F9:G9"/>
    <mergeCell ref="H9:I9"/>
    <mergeCell ref="J9:K9"/>
    <mergeCell ref="T20:U20"/>
    <mergeCell ref="R20:S20"/>
    <mergeCell ref="P20:Q20"/>
    <mergeCell ref="N20:O20"/>
    <mergeCell ref="L20:M20"/>
    <mergeCell ref="B13:C13"/>
    <mergeCell ref="B14:C14"/>
    <mergeCell ref="T14:U14"/>
    <mergeCell ref="R14:S14"/>
    <mergeCell ref="P14:Q14"/>
    <mergeCell ref="N14:O14"/>
    <mergeCell ref="T16:U16"/>
    <mergeCell ref="L16:M16"/>
    <mergeCell ref="N16:O16"/>
    <mergeCell ref="P16:Q16"/>
    <mergeCell ref="R16:S16"/>
    <mergeCell ref="L17:M17"/>
    <mergeCell ref="B17:C17"/>
    <mergeCell ref="B19:C19"/>
    <mergeCell ref="B18:C18"/>
    <mergeCell ref="L18:M18"/>
    <mergeCell ref="B16:C16"/>
    <mergeCell ref="D16:E16"/>
    <mergeCell ref="B20:C20"/>
    <mergeCell ref="F20:G20"/>
    <mergeCell ref="J20:K20"/>
    <mergeCell ref="D20:E20"/>
    <mergeCell ref="H20:I20"/>
    <mergeCell ref="R42:S42"/>
    <mergeCell ref="R43:S43"/>
    <mergeCell ref="T42:U42"/>
    <mergeCell ref="T43:U43"/>
    <mergeCell ref="L43:M43"/>
    <mergeCell ref="N42:O42"/>
    <mergeCell ref="N43:O43"/>
    <mergeCell ref="P42:Q42"/>
    <mergeCell ref="P43:Q43"/>
    <mergeCell ref="L42:M42"/>
    <mergeCell ref="T39:U39"/>
    <mergeCell ref="R39:S39"/>
    <mergeCell ref="R40:S40"/>
    <mergeCell ref="P39:Q39"/>
    <mergeCell ref="P40:Q40"/>
    <mergeCell ref="J39:K39"/>
    <mergeCell ref="J40:K40"/>
    <mergeCell ref="F31:G31"/>
    <mergeCell ref="B39:C39"/>
    <mergeCell ref="B40:C40"/>
    <mergeCell ref="L31:M31"/>
    <mergeCell ref="L32:M32"/>
    <mergeCell ref="J36:K36"/>
    <mergeCell ref="T40:U40"/>
    <mergeCell ref="H39:I39"/>
    <mergeCell ref="H40:I40"/>
    <mergeCell ref="F39:G39"/>
    <mergeCell ref="F40:G40"/>
    <mergeCell ref="D39:E39"/>
    <mergeCell ref="J37:K37"/>
    <mergeCell ref="J32:K32"/>
    <mergeCell ref="J31:K31"/>
    <mergeCell ref="H31:I31"/>
    <mergeCell ref="H32:I32"/>
    <mergeCell ref="P27:Q27"/>
    <mergeCell ref="P29:Q29"/>
    <mergeCell ref="P24:Q24"/>
    <mergeCell ref="P23:Q23"/>
    <mergeCell ref="P21:Q21"/>
    <mergeCell ref="P36:Q36"/>
    <mergeCell ref="R36:S36"/>
    <mergeCell ref="T36:U36"/>
    <mergeCell ref="T29:U29"/>
    <mergeCell ref="P31:Q31"/>
    <mergeCell ref="P32:Q32"/>
    <mergeCell ref="R31:S31"/>
    <mergeCell ref="R32:S32"/>
    <mergeCell ref="T31:U31"/>
    <mergeCell ref="T32:U32"/>
    <mergeCell ref="T27:U27"/>
    <mergeCell ref="T24:U24"/>
    <mergeCell ref="T23:U23"/>
    <mergeCell ref="T21:U21"/>
    <mergeCell ref="R21:S21"/>
    <mergeCell ref="R23:S23"/>
    <mergeCell ref="R24:S24"/>
    <mergeCell ref="R27:S27"/>
    <mergeCell ref="P25:Q25"/>
    <mergeCell ref="N39:O39"/>
    <mergeCell ref="N40:O40"/>
    <mergeCell ref="L39:M39"/>
    <mergeCell ref="J21:K21"/>
    <mergeCell ref="J22:K22"/>
    <mergeCell ref="J23:K23"/>
    <mergeCell ref="J24:K24"/>
    <mergeCell ref="N27:O27"/>
    <mergeCell ref="N29:O29"/>
    <mergeCell ref="N31:O31"/>
    <mergeCell ref="N32:O32"/>
    <mergeCell ref="N21:O21"/>
    <mergeCell ref="N23:O23"/>
    <mergeCell ref="N24:O24"/>
    <mergeCell ref="N30:O30"/>
    <mergeCell ref="N36:O36"/>
    <mergeCell ref="J27:K27"/>
    <mergeCell ref="J29:K29"/>
    <mergeCell ref="L40:M40"/>
    <mergeCell ref="L27:M27"/>
    <mergeCell ref="L28:M28"/>
    <mergeCell ref="L36:M36"/>
    <mergeCell ref="L25:M25"/>
    <mergeCell ref="N25:O25"/>
    <mergeCell ref="C50:D50"/>
    <mergeCell ref="D37:E37"/>
    <mergeCell ref="D36:E36"/>
    <mergeCell ref="D31:E31"/>
    <mergeCell ref="D32:E32"/>
    <mergeCell ref="B28:C28"/>
    <mergeCell ref="D40:E40"/>
    <mergeCell ref="B42:C42"/>
    <mergeCell ref="B27:C27"/>
    <mergeCell ref="A47:E47"/>
    <mergeCell ref="D29:E29"/>
    <mergeCell ref="D27:E27"/>
    <mergeCell ref="D30:E30"/>
    <mergeCell ref="B43:C43"/>
    <mergeCell ref="D42:E42"/>
    <mergeCell ref="D43:E43"/>
    <mergeCell ref="B31:C31"/>
    <mergeCell ref="B32:C32"/>
    <mergeCell ref="B36:C36"/>
    <mergeCell ref="B37:C37"/>
    <mergeCell ref="A49:T49"/>
    <mergeCell ref="F43:G43"/>
    <mergeCell ref="H42:I42"/>
    <mergeCell ref="H43:I43"/>
    <mergeCell ref="J43:K43"/>
    <mergeCell ref="H36:I36"/>
    <mergeCell ref="J42:K42"/>
    <mergeCell ref="H37:I37"/>
    <mergeCell ref="F27:G27"/>
    <mergeCell ref="F29:G29"/>
    <mergeCell ref="H27:I27"/>
    <mergeCell ref="F21:G21"/>
    <mergeCell ref="F22:G22"/>
    <mergeCell ref="F23:G23"/>
    <mergeCell ref="F24:G24"/>
    <mergeCell ref="F36:G36"/>
    <mergeCell ref="F37:G37"/>
    <mergeCell ref="F32:G32"/>
    <mergeCell ref="F42:G42"/>
  </mergeCells>
  <phoneticPr fontId="2" type="noConversion"/>
  <conditionalFormatting sqref="D43 B32 D32 F32 H32 J32 L32 N32 P32 R32 T32 B43 F43 H43 J43 L43 N43 P43 R43 T43">
    <cfRule type="cellIs" dxfId="5" priority="2" stopIfTrue="1" operator="lessThan">
      <formula>0</formula>
    </cfRule>
  </conditionalFormatting>
  <conditionalFormatting sqref="D43:E43">
    <cfRule type="cellIs" dxfId="4" priority="1" operator="lessThan">
      <formula>0</formula>
    </cfRule>
  </conditionalFormatting>
  <printOptions horizontalCentered="1" verticalCentered="1"/>
  <pageMargins left="0.5" right="0.5" top="0.5" bottom="0.5" header="0" footer="0"/>
  <pageSetup scale="77" orientation="landscape"/>
  <headerFooter>
    <oddFooter>&amp;L&amp;G</oddFooter>
  </headerFooter>
  <ignoredErrors>
    <ignoredError sqref="D9 N9 H30:H32 N45:N46 H28 D45:D46 F45:F46 H45:H46 J45:J46 L45:L46" formula="1"/>
    <ignoredError sqref="D33 N33" formula="1" unlockedFormula="1"/>
    <ignoredError sqref="D38 B38 N28 T37:T38 F19 D13 T22 F13 L22 D35 L8 J19 D28 N31:N32 D31:D32 F38 N35 T13 T19 J13 P37:P38 T8 H13 H38 H19 J38 L37:L38 N13 N37:N38 P8 P19 P13 P22 R8 R19 R13 R22 R37:R38 R17 P17 H17 T17 J17 F17" unlockedFormula="1"/>
  </ignoredErrors>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I64"/>
  <sheetViews>
    <sheetView topLeftCell="A9" zoomScaleNormal="100" zoomScalePageLayoutView="160" workbookViewId="0">
      <selection activeCell="A9" sqref="A9:B9"/>
    </sheetView>
  </sheetViews>
  <sheetFormatPr baseColWidth="10" defaultColWidth="8.83203125" defaultRowHeight="13" x14ac:dyDescent="0.15"/>
  <cols>
    <col min="1" max="1" width="32.1640625" style="180" bestFit="1" customWidth="1"/>
    <col min="2" max="2" width="22" style="180" bestFit="1" customWidth="1"/>
    <col min="3" max="3" width="16.6640625" style="179" customWidth="1"/>
    <col min="4" max="8" width="8.83203125" style="179"/>
    <col min="9" max="9" width="12.1640625" style="179" customWidth="1"/>
    <col min="10" max="16384" width="8.83203125" style="180"/>
  </cols>
  <sheetData>
    <row r="1" spans="1:9" hidden="1" x14ac:dyDescent="0.15">
      <c r="A1" s="422" t="s">
        <v>141</v>
      </c>
      <c r="B1" s="422"/>
    </row>
    <row r="2" spans="1:9" hidden="1" x14ac:dyDescent="0.15">
      <c r="A2" s="50" t="s">
        <v>143</v>
      </c>
      <c r="B2" s="181">
        <v>420000</v>
      </c>
    </row>
    <row r="3" spans="1:9" hidden="1" x14ac:dyDescent="0.15">
      <c r="A3" s="50" t="s">
        <v>142</v>
      </c>
      <c r="B3" s="182">
        <v>0.25</v>
      </c>
    </row>
    <row r="4" spans="1:9" hidden="1" x14ac:dyDescent="0.15">
      <c r="A4" s="50" t="s">
        <v>144</v>
      </c>
      <c r="B4" s="183">
        <f>B2*B3</f>
        <v>105000</v>
      </c>
    </row>
    <row r="5" spans="1:9" hidden="1" x14ac:dyDescent="0.15">
      <c r="A5" s="50" t="s">
        <v>145</v>
      </c>
      <c r="B5" s="184">
        <v>100</v>
      </c>
    </row>
    <row r="6" spans="1:9" hidden="1" x14ac:dyDescent="0.15">
      <c r="A6" s="50" t="s">
        <v>132</v>
      </c>
      <c r="B6" s="184">
        <f>B4/B5</f>
        <v>1050</v>
      </c>
    </row>
    <row r="7" spans="1:9" hidden="1" x14ac:dyDescent="0.15">
      <c r="A7" s="50"/>
      <c r="B7" s="184"/>
    </row>
    <row r="8" spans="1:9" hidden="1" x14ac:dyDescent="0.15">
      <c r="A8" s="179"/>
      <c r="B8" s="184"/>
    </row>
    <row r="9" spans="1:9" ht="14" x14ac:dyDescent="0.15">
      <c r="A9" s="425" t="s">
        <v>135</v>
      </c>
      <c r="B9" s="425"/>
    </row>
    <row r="10" spans="1:9" ht="14" x14ac:dyDescent="0.15">
      <c r="A10" s="185" t="s">
        <v>139</v>
      </c>
      <c r="B10" s="186">
        <v>4700</v>
      </c>
      <c r="D10" s="424" t="s">
        <v>146</v>
      </c>
      <c r="E10" s="424"/>
      <c r="F10" s="424"/>
      <c r="G10" s="424"/>
      <c r="H10" s="424"/>
      <c r="I10" s="424"/>
    </row>
    <row r="11" spans="1:9" ht="14" x14ac:dyDescent="0.15">
      <c r="A11" s="187" t="s">
        <v>132</v>
      </c>
      <c r="B11" s="187" t="s">
        <v>133</v>
      </c>
    </row>
    <row r="12" spans="1:9" x14ac:dyDescent="0.15">
      <c r="A12" s="188">
        <f>0.5*B10</f>
        <v>2350</v>
      </c>
      <c r="B12" s="189">
        <v>400</v>
      </c>
      <c r="D12" s="424" t="s">
        <v>147</v>
      </c>
      <c r="E12" s="424"/>
      <c r="F12" s="424"/>
      <c r="G12" s="424"/>
      <c r="H12" s="424"/>
      <c r="I12" s="424"/>
    </row>
    <row r="13" spans="1:9" x14ac:dyDescent="0.15">
      <c r="A13" s="190">
        <v>0</v>
      </c>
      <c r="B13" s="191"/>
      <c r="D13" s="424"/>
      <c r="E13" s="424"/>
      <c r="F13" s="424"/>
      <c r="G13" s="424"/>
      <c r="H13" s="424"/>
      <c r="I13" s="424"/>
    </row>
    <row r="14" spans="1:9" x14ac:dyDescent="0.15">
      <c r="A14" s="192">
        <v>0</v>
      </c>
      <c r="B14" s="193"/>
      <c r="D14" s="424"/>
      <c r="E14" s="424"/>
      <c r="F14" s="424"/>
      <c r="G14" s="424"/>
      <c r="H14" s="424"/>
      <c r="I14" s="424"/>
    </row>
    <row r="15" spans="1:9" ht="28" x14ac:dyDescent="0.15">
      <c r="A15" s="194" t="s">
        <v>131</v>
      </c>
      <c r="B15" s="195" t="s">
        <v>134</v>
      </c>
    </row>
    <row r="16" spans="1:9" x14ac:dyDescent="0.15">
      <c r="A16" s="196">
        <f>B10-(SUM('Peanut Price Calculator'!A12:A14))</f>
        <v>2350</v>
      </c>
      <c r="B16" s="197">
        <v>400</v>
      </c>
      <c r="D16" s="424" t="s">
        <v>148</v>
      </c>
      <c r="E16" s="424"/>
      <c r="F16" s="424"/>
      <c r="G16" s="424"/>
      <c r="H16" s="424"/>
      <c r="I16" s="424"/>
    </row>
    <row r="17" spans="1:9" ht="14" x14ac:dyDescent="0.15">
      <c r="A17" s="198" t="s">
        <v>137</v>
      </c>
      <c r="B17" s="199">
        <f>(A12/(SUM(A12:A14,A16:A16))*B12+A13/(SUM(A12:A14,A16:A16))*B13+A14/(SUM(A12:A14,A16:A16))*B14+A16/(SUM(A12:A14,A16:A16))*B16)</f>
        <v>400</v>
      </c>
    </row>
    <row r="18" spans="1:9" x14ac:dyDescent="0.15">
      <c r="A18" s="200"/>
      <c r="B18" s="201"/>
    </row>
    <row r="19" spans="1:9" s="179" customFormat="1" x14ac:dyDescent="0.15"/>
    <row r="20" spans="1:9" s="179" customFormat="1" x14ac:dyDescent="0.15">
      <c r="A20" s="423" t="s">
        <v>138</v>
      </c>
      <c r="B20" s="423"/>
    </row>
    <row r="21" spans="1:9" s="179" customFormat="1" ht="14" x14ac:dyDescent="0.15">
      <c r="A21" s="185" t="s">
        <v>140</v>
      </c>
      <c r="B21" s="202">
        <v>3400</v>
      </c>
      <c r="D21" s="424" t="s">
        <v>149</v>
      </c>
      <c r="E21" s="424"/>
      <c r="F21" s="424"/>
      <c r="G21" s="424"/>
      <c r="H21" s="424"/>
      <c r="I21" s="424"/>
    </row>
    <row r="22" spans="1:9" s="179" customFormat="1" ht="14" x14ac:dyDescent="0.15">
      <c r="A22" s="187" t="s">
        <v>132</v>
      </c>
      <c r="B22" s="187" t="s">
        <v>133</v>
      </c>
    </row>
    <row r="23" spans="1:9" s="179" customFormat="1" x14ac:dyDescent="0.15">
      <c r="A23" s="203">
        <f>0.5*B21</f>
        <v>1700</v>
      </c>
      <c r="B23" s="204">
        <f>B12</f>
        <v>400</v>
      </c>
      <c r="D23" s="424" t="s">
        <v>150</v>
      </c>
      <c r="E23" s="424"/>
      <c r="F23" s="424"/>
      <c r="G23" s="424"/>
      <c r="H23" s="424"/>
      <c r="I23" s="424"/>
    </row>
    <row r="24" spans="1:9" s="179" customFormat="1" x14ac:dyDescent="0.15">
      <c r="A24" s="205">
        <v>0</v>
      </c>
      <c r="B24" s="206"/>
      <c r="D24" s="424"/>
      <c r="E24" s="424"/>
      <c r="F24" s="424"/>
      <c r="G24" s="424"/>
      <c r="H24" s="424"/>
      <c r="I24" s="424"/>
    </row>
    <row r="25" spans="1:9" s="179" customFormat="1" x14ac:dyDescent="0.15">
      <c r="A25" s="207">
        <v>0</v>
      </c>
      <c r="B25" s="208"/>
      <c r="D25" s="424"/>
      <c r="E25" s="424"/>
      <c r="F25" s="424"/>
      <c r="G25" s="424"/>
      <c r="H25" s="424"/>
      <c r="I25" s="424"/>
    </row>
    <row r="26" spans="1:9" s="179" customFormat="1" ht="28" x14ac:dyDescent="0.15">
      <c r="A26" s="194" t="s">
        <v>131</v>
      </c>
      <c r="B26" s="195" t="s">
        <v>134</v>
      </c>
    </row>
    <row r="27" spans="1:9" s="179" customFormat="1" ht="15.75" customHeight="1" x14ac:dyDescent="0.15">
      <c r="A27" s="196">
        <f>B21-(SUM('Peanut Price Calculator'!A23:A25))</f>
        <v>1700</v>
      </c>
      <c r="B27" s="209">
        <v>400</v>
      </c>
      <c r="D27" s="421" t="s">
        <v>151</v>
      </c>
      <c r="E27" s="421"/>
      <c r="F27" s="421"/>
      <c r="G27" s="421"/>
      <c r="H27" s="421"/>
      <c r="I27" s="421"/>
    </row>
    <row r="28" spans="1:9" s="179" customFormat="1" ht="14" x14ac:dyDescent="0.15">
      <c r="A28" s="198" t="s">
        <v>136</v>
      </c>
      <c r="B28" s="199">
        <f>(A23/(SUM(A23:A25,A27:A27))*B23+A24/(SUM(A23:A25,A27:A27))*B24+A25/(SUM(A23:A25,A27:A27))*B25+A27/(SUM(A23:A25,A27:A27))*B27)</f>
        <v>400</v>
      </c>
      <c r="D28" s="421"/>
      <c r="E28" s="421"/>
      <c r="F28" s="421"/>
      <c r="G28" s="421"/>
      <c r="H28" s="421"/>
      <c r="I28" s="421"/>
    </row>
    <row r="29" spans="1:9" s="179" customFormat="1" x14ac:dyDescent="0.15"/>
    <row r="30" spans="1:9" s="179" customFormat="1" x14ac:dyDescent="0.15"/>
    <row r="31" spans="1:9" s="179" customFormat="1" x14ac:dyDescent="0.15"/>
    <row r="32" spans="1:9" s="179" customFormat="1" x14ac:dyDescent="0.15"/>
    <row r="33" s="179" customFormat="1" x14ac:dyDescent="0.15"/>
    <row r="34" s="179" customFormat="1" x14ac:dyDescent="0.15"/>
    <row r="35" s="179" customFormat="1" x14ac:dyDescent="0.15"/>
    <row r="36" s="179" customFormat="1" x14ac:dyDescent="0.15"/>
    <row r="37" s="179" customFormat="1" x14ac:dyDescent="0.15"/>
    <row r="38" s="179" customFormat="1" x14ac:dyDescent="0.15"/>
    <row r="39" s="179" customFormat="1" x14ac:dyDescent="0.15"/>
    <row r="40" s="179" customFormat="1" x14ac:dyDescent="0.15"/>
    <row r="41" s="179" customFormat="1" x14ac:dyDescent="0.15"/>
    <row r="42" s="179" customFormat="1" x14ac:dyDescent="0.15"/>
    <row r="43" s="179" customFormat="1" x14ac:dyDescent="0.15"/>
    <row r="44" s="179" customFormat="1" x14ac:dyDescent="0.15"/>
    <row r="45" s="179" customFormat="1" x14ac:dyDescent="0.15"/>
    <row r="46" s="179" customFormat="1" x14ac:dyDescent="0.15"/>
    <row r="47" s="179" customFormat="1" x14ac:dyDescent="0.15"/>
    <row r="48" s="179" customFormat="1" x14ac:dyDescent="0.15"/>
    <row r="49" s="179" customFormat="1" x14ac:dyDescent="0.15"/>
    <row r="50" s="179" customFormat="1" x14ac:dyDescent="0.15"/>
    <row r="51" s="179" customFormat="1" x14ac:dyDescent="0.15"/>
    <row r="52" s="179" customFormat="1" x14ac:dyDescent="0.15"/>
    <row r="53" s="179" customFormat="1" x14ac:dyDescent="0.15"/>
    <row r="54" s="179" customFormat="1" x14ac:dyDescent="0.15"/>
    <row r="55" s="179" customFormat="1" x14ac:dyDescent="0.15"/>
    <row r="56" s="179" customFormat="1" x14ac:dyDescent="0.15"/>
    <row r="57" s="179" customFormat="1" x14ac:dyDescent="0.15"/>
    <row r="58" s="179" customFormat="1" x14ac:dyDescent="0.15"/>
    <row r="59" s="179" customFormat="1" x14ac:dyDescent="0.15"/>
    <row r="60" s="179" customFormat="1" x14ac:dyDescent="0.15"/>
    <row r="61" s="179" customFormat="1" x14ac:dyDescent="0.15"/>
    <row r="62" s="179" customFormat="1" x14ac:dyDescent="0.15"/>
    <row r="63" s="179" customFormat="1" x14ac:dyDescent="0.15"/>
    <row r="64" s="179" customFormat="1" x14ac:dyDescent="0.15"/>
  </sheetData>
  <sheetProtection sheet="1" objects="1" scenarios="1"/>
  <mergeCells count="9">
    <mergeCell ref="D27:I28"/>
    <mergeCell ref="A1:B1"/>
    <mergeCell ref="A20:B20"/>
    <mergeCell ref="D23:I25"/>
    <mergeCell ref="A9:B9"/>
    <mergeCell ref="D16:I16"/>
    <mergeCell ref="D12:I14"/>
    <mergeCell ref="D10:I10"/>
    <mergeCell ref="D21:I21"/>
  </mergeCells>
  <phoneticPr fontId="2" type="noConversion"/>
  <pageMargins left="0.7" right="0.7" top="0.75" bottom="0.75" header="0.3" footer="0.3"/>
  <pageSetup scale="90" orientation="landscape" r:id="rId1"/>
  <headerFooter>
    <oddFooter>&amp;LCalculator created by A.R. Smith, UGA Extension Economist&amp;C&amp;G&amp;RAg and Applied Economics, 11/2021</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46"/>
  <sheetViews>
    <sheetView zoomScaleNormal="100" zoomScalePageLayoutView="150" workbookViewId="0">
      <selection sqref="A1:I1"/>
    </sheetView>
  </sheetViews>
  <sheetFormatPr baseColWidth="10" defaultColWidth="8.83203125" defaultRowHeight="14" x14ac:dyDescent="0.2"/>
  <cols>
    <col min="1" max="1" width="7.33203125" style="91" customWidth="1"/>
    <col min="2" max="2" width="15.6640625" style="91" bestFit="1" customWidth="1"/>
    <col min="3" max="3" width="6.33203125" style="91" customWidth="1"/>
    <col min="4" max="4" width="15.83203125" style="91" bestFit="1" customWidth="1"/>
    <col min="5" max="5" width="6.33203125" style="91" customWidth="1"/>
    <col min="6" max="6" width="14" style="91" bestFit="1" customWidth="1"/>
    <col min="7" max="7" width="7" style="91" customWidth="1"/>
    <col min="8" max="8" width="15.83203125" style="91" bestFit="1" customWidth="1"/>
    <col min="9" max="9" width="8.5" style="91" customWidth="1"/>
    <col min="10" max="21" width="8.83203125" style="91" customWidth="1"/>
    <col min="22" max="16384" width="8.83203125" style="91"/>
  </cols>
  <sheetData>
    <row r="1" spans="1:19" ht="30" customHeight="1" x14ac:dyDescent="0.2">
      <c r="A1" s="426" t="s">
        <v>118</v>
      </c>
      <c r="B1" s="427"/>
      <c r="C1" s="427"/>
      <c r="D1" s="427"/>
      <c r="E1" s="427"/>
      <c r="F1" s="427"/>
      <c r="G1" s="427"/>
      <c r="H1" s="427"/>
      <c r="I1" s="428"/>
      <c r="J1" s="90"/>
      <c r="K1" s="90"/>
      <c r="L1" s="90"/>
      <c r="M1" s="90"/>
      <c r="N1" s="90"/>
      <c r="O1" s="90"/>
      <c r="P1" s="90"/>
      <c r="Q1" s="90"/>
      <c r="R1" s="90"/>
      <c r="S1" s="90"/>
    </row>
    <row r="2" spans="1:19" ht="30" customHeight="1" thickBot="1" x14ac:dyDescent="0.25">
      <c r="A2" s="429" t="s">
        <v>117</v>
      </c>
      <c r="B2" s="430"/>
      <c r="C2" s="430"/>
      <c r="D2" s="430"/>
      <c r="E2" s="430"/>
      <c r="F2" s="430"/>
      <c r="G2" s="430"/>
      <c r="H2" s="430"/>
      <c r="I2" s="431"/>
      <c r="J2" s="90"/>
      <c r="K2" s="90"/>
      <c r="L2" s="90"/>
      <c r="M2" s="90"/>
      <c r="N2" s="90"/>
      <c r="O2" s="90"/>
      <c r="P2" s="90"/>
      <c r="Q2" s="90"/>
      <c r="R2" s="90"/>
      <c r="S2" s="90"/>
    </row>
    <row r="3" spans="1:19" s="169" customFormat="1" ht="30" customHeight="1" thickBot="1" x14ac:dyDescent="0.2">
      <c r="A3" s="162"/>
      <c r="B3" s="163" t="s">
        <v>105</v>
      </c>
      <c r="C3" s="164"/>
      <c r="D3" s="165" t="s">
        <v>108</v>
      </c>
      <c r="E3" s="164"/>
      <c r="F3" s="166" t="s">
        <v>111</v>
      </c>
      <c r="G3" s="164"/>
      <c r="H3" s="167" t="s">
        <v>114</v>
      </c>
      <c r="I3" s="168"/>
      <c r="J3" s="164"/>
      <c r="K3" s="164"/>
      <c r="L3" s="164"/>
      <c r="M3" s="164"/>
      <c r="N3" s="164"/>
      <c r="O3" s="164"/>
      <c r="P3" s="164"/>
      <c r="Q3" s="164"/>
      <c r="R3" s="164"/>
      <c r="S3" s="164"/>
    </row>
    <row r="4" spans="1:19" s="173" customFormat="1" ht="15" thickBot="1" x14ac:dyDescent="0.2">
      <c r="A4" s="170"/>
      <c r="B4" s="164"/>
      <c r="C4" s="164"/>
      <c r="D4" s="164"/>
      <c r="E4" s="164"/>
      <c r="F4" s="164"/>
      <c r="G4" s="164"/>
      <c r="H4" s="164"/>
      <c r="I4" s="171"/>
      <c r="J4" s="172"/>
      <c r="K4" s="172"/>
      <c r="L4" s="172"/>
      <c r="M4" s="172"/>
      <c r="N4" s="172"/>
      <c r="O4" s="172"/>
      <c r="P4" s="172"/>
      <c r="Q4" s="172"/>
      <c r="R4" s="172"/>
      <c r="S4" s="172"/>
    </row>
    <row r="5" spans="1:19" s="169" customFormat="1" ht="30" customHeight="1" thickBot="1" x14ac:dyDescent="0.2">
      <c r="A5" s="162"/>
      <c r="B5" s="163" t="s">
        <v>106</v>
      </c>
      <c r="C5" s="164"/>
      <c r="D5" s="165" t="s">
        <v>109</v>
      </c>
      <c r="E5" s="164"/>
      <c r="F5" s="166" t="s">
        <v>112</v>
      </c>
      <c r="G5" s="164"/>
      <c r="H5" s="167" t="s">
        <v>115</v>
      </c>
      <c r="I5" s="168"/>
      <c r="J5" s="164"/>
      <c r="K5" s="164"/>
      <c r="L5" s="164"/>
      <c r="M5" s="164"/>
      <c r="N5" s="164"/>
      <c r="O5" s="164"/>
      <c r="P5" s="164"/>
      <c r="Q5" s="164"/>
      <c r="R5" s="164"/>
      <c r="S5" s="164"/>
    </row>
    <row r="6" spans="1:19" s="173" customFormat="1" ht="15" thickBot="1" x14ac:dyDescent="0.2">
      <c r="A6" s="170"/>
      <c r="B6" s="164"/>
      <c r="C6" s="164"/>
      <c r="D6" s="164"/>
      <c r="E6" s="164"/>
      <c r="F6" s="164"/>
      <c r="G6" s="164"/>
      <c r="H6" s="164"/>
      <c r="I6" s="171"/>
      <c r="J6" s="172"/>
      <c r="K6" s="172"/>
      <c r="L6" s="172"/>
      <c r="M6" s="172"/>
      <c r="N6" s="172"/>
      <c r="O6" s="172"/>
      <c r="P6" s="172"/>
      <c r="Q6" s="172"/>
      <c r="R6" s="172"/>
      <c r="S6" s="172"/>
    </row>
    <row r="7" spans="1:19" s="169" customFormat="1" ht="30" customHeight="1" thickBot="1" x14ac:dyDescent="0.2">
      <c r="A7" s="162"/>
      <c r="B7" s="163" t="s">
        <v>107</v>
      </c>
      <c r="C7" s="164"/>
      <c r="D7" s="165" t="s">
        <v>110</v>
      </c>
      <c r="E7" s="164"/>
      <c r="F7" s="166" t="s">
        <v>113</v>
      </c>
      <c r="G7" s="164"/>
      <c r="H7" s="167" t="s">
        <v>116</v>
      </c>
      <c r="I7" s="168"/>
      <c r="J7" s="164"/>
      <c r="K7" s="164"/>
      <c r="L7" s="164"/>
      <c r="M7" s="164"/>
      <c r="N7" s="164"/>
      <c r="O7" s="164"/>
      <c r="P7" s="164"/>
      <c r="Q7" s="164"/>
      <c r="R7" s="164"/>
      <c r="S7" s="164"/>
    </row>
    <row r="8" spans="1:19" ht="30" customHeight="1" thickBot="1" x14ac:dyDescent="0.25">
      <c r="A8" s="174"/>
      <c r="B8" s="175"/>
      <c r="C8" s="175"/>
      <c r="D8" s="175"/>
      <c r="E8" s="175"/>
      <c r="F8" s="175"/>
      <c r="G8" s="175"/>
      <c r="H8" s="175"/>
      <c r="I8" s="176"/>
      <c r="J8" s="90"/>
      <c r="K8" s="90"/>
      <c r="L8" s="90"/>
      <c r="M8" s="90"/>
      <c r="N8" s="90"/>
      <c r="O8" s="90"/>
      <c r="P8" s="90"/>
      <c r="Q8" s="90"/>
      <c r="R8" s="90"/>
      <c r="S8" s="90"/>
    </row>
    <row r="9" spans="1:19" ht="6" customHeight="1" x14ac:dyDescent="0.2">
      <c r="A9" s="90"/>
      <c r="B9" s="90"/>
      <c r="C9" s="90"/>
      <c r="D9" s="90"/>
      <c r="E9" s="90"/>
      <c r="F9" s="90"/>
      <c r="G9" s="90"/>
      <c r="H9" s="90"/>
      <c r="I9" s="90"/>
      <c r="J9" s="90"/>
      <c r="K9" s="90"/>
      <c r="L9" s="90"/>
      <c r="M9" s="90"/>
      <c r="N9" s="90"/>
      <c r="O9" s="90"/>
      <c r="P9" s="90"/>
      <c r="Q9" s="90"/>
      <c r="R9" s="90"/>
      <c r="S9" s="90"/>
    </row>
    <row r="10" spans="1:19" ht="6.5" customHeight="1" thickBot="1" x14ac:dyDescent="0.25">
      <c r="A10" s="90"/>
      <c r="B10" s="90"/>
      <c r="C10" s="90"/>
      <c r="D10" s="90"/>
      <c r="E10" s="90"/>
      <c r="F10" s="90"/>
      <c r="G10" s="90"/>
      <c r="H10" s="90"/>
      <c r="I10" s="90"/>
      <c r="J10" s="90"/>
      <c r="K10" s="90"/>
      <c r="L10" s="90"/>
      <c r="M10" s="90"/>
      <c r="N10" s="90"/>
      <c r="O10" s="90"/>
      <c r="P10" s="90"/>
      <c r="Q10" s="90"/>
      <c r="R10" s="90"/>
      <c r="S10" s="90"/>
    </row>
    <row r="11" spans="1:19" ht="30" customHeight="1" x14ac:dyDescent="0.2">
      <c r="A11" s="426" t="s">
        <v>119</v>
      </c>
      <c r="B11" s="427"/>
      <c r="C11" s="427"/>
      <c r="D11" s="427"/>
      <c r="E11" s="427"/>
      <c r="F11" s="427"/>
      <c r="G11" s="427"/>
      <c r="H11" s="427"/>
      <c r="I11" s="428"/>
      <c r="J11" s="90"/>
      <c r="K11" s="90"/>
      <c r="L11" s="90"/>
      <c r="M11" s="90"/>
      <c r="N11" s="90"/>
      <c r="O11" s="90"/>
      <c r="P11" s="90"/>
      <c r="Q11" s="90"/>
      <c r="R11" s="90"/>
      <c r="S11" s="90"/>
    </row>
    <row r="12" spans="1:19" ht="30" customHeight="1" thickBot="1" x14ac:dyDescent="0.25">
      <c r="A12" s="429" t="s">
        <v>117</v>
      </c>
      <c r="B12" s="430"/>
      <c r="C12" s="430"/>
      <c r="D12" s="430"/>
      <c r="E12" s="430"/>
      <c r="F12" s="430"/>
      <c r="G12" s="430"/>
      <c r="H12" s="430"/>
      <c r="I12" s="431"/>
      <c r="J12" s="90"/>
      <c r="K12" s="90"/>
      <c r="L12" s="90"/>
      <c r="M12" s="90"/>
      <c r="N12" s="90"/>
      <c r="O12" s="90"/>
      <c r="P12" s="90"/>
      <c r="Q12" s="90"/>
      <c r="R12" s="90"/>
      <c r="S12" s="90"/>
    </row>
    <row r="13" spans="1:19" s="178" customFormat="1" ht="30" customHeight="1" thickBot="1" x14ac:dyDescent="0.2">
      <c r="A13" s="162"/>
      <c r="B13" s="163" t="s">
        <v>105</v>
      </c>
      <c r="C13" s="164"/>
      <c r="D13" s="165" t="s">
        <v>108</v>
      </c>
      <c r="E13" s="164"/>
      <c r="F13" s="166" t="s">
        <v>111</v>
      </c>
      <c r="G13" s="164"/>
      <c r="H13" s="167" t="s">
        <v>114</v>
      </c>
      <c r="I13" s="168"/>
      <c r="J13" s="177"/>
      <c r="K13" s="177"/>
      <c r="L13" s="177"/>
      <c r="M13" s="177"/>
      <c r="N13" s="177"/>
      <c r="O13" s="177"/>
      <c r="P13" s="177"/>
      <c r="Q13" s="177"/>
      <c r="R13" s="177"/>
      <c r="S13" s="177"/>
    </row>
    <row r="14" spans="1:19" s="178" customFormat="1" ht="15" thickBot="1" x14ac:dyDescent="0.2">
      <c r="A14" s="162"/>
      <c r="B14" s="164"/>
      <c r="C14" s="164"/>
      <c r="D14" s="164"/>
      <c r="E14" s="164"/>
      <c r="F14" s="164"/>
      <c r="G14" s="164"/>
      <c r="H14" s="164"/>
      <c r="I14" s="168"/>
      <c r="J14" s="177"/>
      <c r="K14" s="177"/>
      <c r="L14" s="177"/>
      <c r="M14" s="177"/>
      <c r="N14" s="177"/>
      <c r="O14" s="177"/>
      <c r="P14" s="177"/>
      <c r="Q14" s="177"/>
      <c r="R14" s="177"/>
      <c r="S14" s="177"/>
    </row>
    <row r="15" spans="1:19" s="178" customFormat="1" ht="30" customHeight="1" thickBot="1" x14ac:dyDescent="0.2">
      <c r="A15" s="162"/>
      <c r="B15" s="163" t="s">
        <v>106</v>
      </c>
      <c r="C15" s="164"/>
      <c r="D15" s="165" t="s">
        <v>109</v>
      </c>
      <c r="E15" s="164"/>
      <c r="F15" s="166" t="s">
        <v>112</v>
      </c>
      <c r="G15" s="164"/>
      <c r="H15" s="167" t="s">
        <v>115</v>
      </c>
      <c r="I15" s="168"/>
      <c r="J15" s="177"/>
      <c r="K15" s="177"/>
      <c r="L15" s="177"/>
      <c r="M15" s="177"/>
      <c r="N15" s="177"/>
      <c r="O15" s="177"/>
      <c r="P15" s="177"/>
      <c r="Q15" s="177"/>
      <c r="R15" s="177"/>
      <c r="S15" s="177"/>
    </row>
    <row r="16" spans="1:19" s="178" customFormat="1" ht="15" thickBot="1" x14ac:dyDescent="0.2">
      <c r="A16" s="162"/>
      <c r="B16" s="164"/>
      <c r="C16" s="164"/>
      <c r="D16" s="164"/>
      <c r="E16" s="164"/>
      <c r="F16" s="164"/>
      <c r="G16" s="164"/>
      <c r="H16" s="164"/>
      <c r="I16" s="168"/>
      <c r="J16" s="177"/>
      <c r="K16" s="177"/>
      <c r="L16" s="177"/>
      <c r="M16" s="177"/>
      <c r="N16" s="177"/>
      <c r="O16" s="177"/>
      <c r="P16" s="177"/>
      <c r="Q16" s="177"/>
      <c r="R16" s="177"/>
      <c r="S16" s="177"/>
    </row>
    <row r="17" spans="1:19" s="178" customFormat="1" ht="30" customHeight="1" thickBot="1" x14ac:dyDescent="0.2">
      <c r="A17" s="162"/>
      <c r="B17" s="163" t="s">
        <v>107</v>
      </c>
      <c r="C17" s="164"/>
      <c r="D17" s="165" t="s">
        <v>110</v>
      </c>
      <c r="E17" s="164"/>
      <c r="F17" s="166" t="s">
        <v>113</v>
      </c>
      <c r="G17" s="164"/>
      <c r="H17" s="167" t="s">
        <v>116</v>
      </c>
      <c r="I17" s="168"/>
      <c r="J17" s="177"/>
      <c r="K17" s="177"/>
      <c r="L17" s="177"/>
      <c r="M17" s="177"/>
      <c r="N17" s="177"/>
      <c r="O17" s="177"/>
      <c r="P17" s="177"/>
      <c r="Q17" s="177"/>
      <c r="R17" s="177"/>
      <c r="S17" s="177"/>
    </row>
    <row r="18" spans="1:19" ht="30" customHeight="1" thickBot="1" x14ac:dyDescent="0.25">
      <c r="A18" s="174"/>
      <c r="B18" s="175"/>
      <c r="C18" s="175"/>
      <c r="D18" s="175"/>
      <c r="E18" s="175"/>
      <c r="F18" s="175"/>
      <c r="G18" s="175"/>
      <c r="H18" s="175"/>
      <c r="I18" s="176"/>
      <c r="J18" s="90"/>
      <c r="K18" s="90"/>
      <c r="L18" s="90"/>
      <c r="M18" s="90"/>
      <c r="N18" s="90"/>
      <c r="O18" s="90"/>
      <c r="P18" s="90"/>
      <c r="Q18" s="90"/>
      <c r="R18" s="90"/>
      <c r="S18" s="90"/>
    </row>
    <row r="19" spans="1:19" x14ac:dyDescent="0.2">
      <c r="A19" s="90"/>
      <c r="B19" s="90"/>
      <c r="C19" s="90"/>
      <c r="D19" s="90"/>
      <c r="E19" s="90"/>
      <c r="F19" s="90"/>
      <c r="G19" s="90"/>
      <c r="H19" s="90"/>
      <c r="I19" s="90"/>
      <c r="J19" s="90"/>
      <c r="K19" s="90"/>
      <c r="L19" s="90"/>
      <c r="M19" s="90"/>
      <c r="N19" s="90"/>
      <c r="O19" s="90"/>
      <c r="P19" s="90"/>
      <c r="Q19" s="90"/>
      <c r="R19" s="90"/>
      <c r="S19" s="90"/>
    </row>
    <row r="20" spans="1:19" x14ac:dyDescent="0.2">
      <c r="A20" s="90"/>
      <c r="B20" s="90"/>
      <c r="C20" s="90"/>
      <c r="D20" s="90"/>
      <c r="E20" s="90"/>
      <c r="F20" s="90"/>
      <c r="G20" s="90"/>
      <c r="H20" s="90"/>
      <c r="I20" s="90"/>
      <c r="J20" s="90"/>
      <c r="K20" s="90"/>
      <c r="L20" s="90"/>
      <c r="M20" s="90"/>
      <c r="N20" s="90"/>
      <c r="O20" s="90"/>
      <c r="P20" s="90"/>
      <c r="Q20" s="90"/>
      <c r="R20" s="90"/>
      <c r="S20" s="90"/>
    </row>
    <row r="21" spans="1:19" x14ac:dyDescent="0.2">
      <c r="A21" s="90"/>
      <c r="B21" s="90"/>
      <c r="C21" s="90"/>
      <c r="D21" s="90"/>
      <c r="E21" s="90"/>
      <c r="F21" s="90"/>
      <c r="G21" s="90"/>
      <c r="H21" s="90"/>
      <c r="I21" s="90"/>
      <c r="J21" s="90"/>
      <c r="K21" s="90"/>
      <c r="L21" s="90"/>
      <c r="M21" s="90"/>
      <c r="N21" s="90"/>
      <c r="O21" s="90"/>
      <c r="P21" s="90"/>
      <c r="Q21" s="90"/>
      <c r="R21" s="90"/>
      <c r="S21" s="90"/>
    </row>
    <row r="22" spans="1:19" x14ac:dyDescent="0.2">
      <c r="A22" s="90"/>
      <c r="B22" s="90"/>
      <c r="C22" s="90"/>
      <c r="D22" s="90"/>
      <c r="E22" s="90"/>
      <c r="F22" s="90"/>
      <c r="G22" s="90"/>
      <c r="H22" s="90"/>
      <c r="I22" s="90"/>
      <c r="J22" s="90"/>
      <c r="K22" s="90"/>
      <c r="L22" s="90"/>
      <c r="M22" s="90"/>
      <c r="N22" s="90"/>
      <c r="O22" s="90"/>
      <c r="P22" s="90"/>
      <c r="Q22" s="90"/>
      <c r="R22" s="90"/>
      <c r="S22" s="90"/>
    </row>
    <row r="23" spans="1:19" x14ac:dyDescent="0.2">
      <c r="A23" s="90"/>
      <c r="B23" s="90"/>
      <c r="C23" s="90"/>
      <c r="D23" s="90"/>
      <c r="E23" s="90"/>
      <c r="F23" s="90"/>
      <c r="G23" s="90"/>
      <c r="H23" s="90"/>
      <c r="I23" s="90"/>
      <c r="J23" s="90"/>
      <c r="K23" s="90"/>
      <c r="L23" s="90"/>
      <c r="M23" s="90"/>
      <c r="N23" s="90"/>
      <c r="O23" s="90"/>
      <c r="P23" s="90"/>
      <c r="Q23" s="90"/>
      <c r="R23" s="90"/>
      <c r="S23" s="90"/>
    </row>
    <row r="24" spans="1:19" x14ac:dyDescent="0.2">
      <c r="A24" s="90"/>
      <c r="B24" s="90"/>
      <c r="C24" s="90"/>
      <c r="D24" s="90"/>
      <c r="E24" s="90"/>
      <c r="F24" s="90"/>
      <c r="G24" s="90"/>
      <c r="H24" s="90"/>
      <c r="I24" s="90"/>
      <c r="J24" s="90"/>
      <c r="K24" s="90"/>
      <c r="L24" s="90"/>
      <c r="M24" s="90"/>
      <c r="N24" s="90"/>
      <c r="O24" s="90"/>
      <c r="P24" s="90"/>
      <c r="Q24" s="90"/>
      <c r="R24" s="90"/>
      <c r="S24" s="90"/>
    </row>
    <row r="25" spans="1:19" x14ac:dyDescent="0.2">
      <c r="A25" s="90"/>
      <c r="B25" s="90"/>
      <c r="C25" s="90"/>
      <c r="D25" s="90"/>
      <c r="E25" s="90"/>
      <c r="F25" s="90"/>
      <c r="G25" s="90"/>
      <c r="H25" s="90"/>
      <c r="I25" s="90"/>
      <c r="J25" s="90"/>
      <c r="K25" s="90"/>
      <c r="L25" s="90"/>
      <c r="M25" s="90"/>
      <c r="N25" s="90"/>
      <c r="O25" s="90"/>
      <c r="P25" s="90"/>
      <c r="Q25" s="90"/>
      <c r="R25" s="90"/>
      <c r="S25" s="90"/>
    </row>
    <row r="26" spans="1:19" x14ac:dyDescent="0.2">
      <c r="A26" s="90"/>
      <c r="B26" s="90"/>
      <c r="C26" s="90"/>
      <c r="D26" s="90"/>
      <c r="E26" s="90"/>
      <c r="F26" s="90"/>
      <c r="G26" s="90"/>
      <c r="H26" s="90"/>
      <c r="I26" s="90"/>
      <c r="J26" s="90"/>
      <c r="K26" s="90"/>
      <c r="L26" s="90"/>
      <c r="M26" s="90"/>
      <c r="N26" s="90"/>
      <c r="O26" s="90"/>
      <c r="P26" s="90"/>
      <c r="Q26" s="90"/>
      <c r="R26" s="90"/>
      <c r="S26" s="90"/>
    </row>
    <row r="27" spans="1:19" x14ac:dyDescent="0.2">
      <c r="A27" s="90"/>
      <c r="B27" s="90"/>
      <c r="C27" s="90"/>
      <c r="D27" s="90"/>
      <c r="E27" s="90"/>
      <c r="F27" s="90"/>
      <c r="G27" s="90"/>
      <c r="H27" s="90"/>
      <c r="I27" s="90"/>
      <c r="J27" s="90"/>
      <c r="K27" s="90"/>
      <c r="L27" s="90"/>
      <c r="M27" s="90"/>
      <c r="N27" s="90"/>
      <c r="O27" s="90"/>
      <c r="P27" s="90"/>
      <c r="Q27" s="90"/>
      <c r="R27" s="90"/>
      <c r="S27" s="90"/>
    </row>
    <row r="28" spans="1:19" x14ac:dyDescent="0.2">
      <c r="A28" s="90"/>
      <c r="B28" s="90"/>
      <c r="C28" s="90"/>
      <c r="D28" s="90"/>
      <c r="E28" s="90"/>
      <c r="F28" s="90"/>
      <c r="G28" s="90"/>
      <c r="H28" s="90"/>
      <c r="I28" s="90"/>
      <c r="J28" s="90"/>
      <c r="K28" s="90"/>
      <c r="L28" s="90"/>
      <c r="M28" s="90"/>
      <c r="N28" s="90"/>
      <c r="O28" s="90"/>
      <c r="P28" s="90"/>
      <c r="Q28" s="90"/>
      <c r="R28" s="90"/>
      <c r="S28" s="90"/>
    </row>
    <row r="29" spans="1:19" x14ac:dyDescent="0.2">
      <c r="A29" s="90"/>
      <c r="B29" s="90"/>
      <c r="C29" s="90"/>
      <c r="D29" s="90"/>
      <c r="E29" s="90"/>
      <c r="F29" s="90"/>
      <c r="G29" s="90"/>
      <c r="H29" s="90"/>
      <c r="I29" s="90"/>
      <c r="J29" s="90"/>
      <c r="K29" s="90"/>
      <c r="L29" s="90"/>
      <c r="M29" s="90"/>
      <c r="N29" s="90"/>
      <c r="O29" s="90"/>
      <c r="P29" s="90"/>
      <c r="Q29" s="90"/>
      <c r="R29" s="90"/>
      <c r="S29" s="90"/>
    </row>
    <row r="30" spans="1:19" x14ac:dyDescent="0.2">
      <c r="A30" s="90"/>
      <c r="B30" s="90"/>
      <c r="C30" s="90"/>
      <c r="D30" s="90"/>
      <c r="E30" s="90"/>
      <c r="F30" s="90"/>
      <c r="G30" s="90"/>
      <c r="H30" s="90"/>
      <c r="I30" s="90"/>
      <c r="J30" s="90"/>
      <c r="K30" s="90"/>
      <c r="L30" s="90"/>
      <c r="M30" s="90"/>
      <c r="N30" s="90"/>
      <c r="O30" s="90"/>
      <c r="P30" s="90"/>
      <c r="Q30" s="90"/>
      <c r="R30" s="90"/>
      <c r="S30" s="90"/>
    </row>
    <row r="31" spans="1:19" x14ac:dyDescent="0.2">
      <c r="A31" s="90"/>
      <c r="B31" s="90"/>
      <c r="C31" s="90"/>
      <c r="D31" s="90"/>
      <c r="E31" s="90"/>
      <c r="F31" s="90"/>
      <c r="G31" s="90"/>
      <c r="H31" s="90"/>
      <c r="I31" s="90"/>
      <c r="J31" s="90"/>
      <c r="K31" s="90"/>
      <c r="L31" s="90"/>
      <c r="M31" s="90"/>
      <c r="N31" s="90"/>
      <c r="O31" s="90"/>
      <c r="P31" s="90"/>
      <c r="Q31" s="90"/>
      <c r="R31" s="90"/>
      <c r="S31" s="90"/>
    </row>
    <row r="32" spans="1:19" x14ac:dyDescent="0.2">
      <c r="A32" s="90"/>
      <c r="B32" s="90"/>
      <c r="C32" s="90"/>
      <c r="D32" s="90"/>
      <c r="E32" s="90"/>
      <c r="F32" s="90"/>
      <c r="G32" s="90"/>
      <c r="H32" s="90"/>
      <c r="I32" s="90"/>
      <c r="J32" s="90"/>
      <c r="K32" s="90"/>
      <c r="L32" s="90"/>
      <c r="M32" s="90"/>
      <c r="N32" s="90"/>
      <c r="O32" s="90"/>
      <c r="P32" s="90"/>
      <c r="Q32" s="90"/>
      <c r="R32" s="90"/>
      <c r="S32" s="90"/>
    </row>
    <row r="33" spans="1:19" x14ac:dyDescent="0.2">
      <c r="A33" s="90"/>
      <c r="B33" s="90"/>
      <c r="C33" s="90"/>
      <c r="D33" s="90"/>
      <c r="E33" s="90"/>
      <c r="F33" s="90"/>
      <c r="G33" s="90"/>
      <c r="H33" s="90"/>
      <c r="I33" s="90"/>
      <c r="J33" s="90"/>
      <c r="K33" s="90"/>
      <c r="L33" s="90"/>
      <c r="M33" s="90"/>
      <c r="N33" s="90"/>
      <c r="O33" s="90"/>
      <c r="P33" s="90"/>
      <c r="Q33" s="90"/>
      <c r="R33" s="90"/>
      <c r="S33" s="90"/>
    </row>
    <row r="34" spans="1:19" x14ac:dyDescent="0.2">
      <c r="A34" s="90"/>
      <c r="B34" s="90"/>
      <c r="C34" s="90"/>
      <c r="D34" s="90"/>
      <c r="E34" s="90"/>
      <c r="F34" s="90"/>
      <c r="G34" s="90"/>
      <c r="H34" s="90"/>
      <c r="I34" s="90"/>
      <c r="J34" s="90"/>
      <c r="K34" s="90"/>
      <c r="L34" s="90"/>
      <c r="M34" s="90"/>
      <c r="N34" s="90"/>
      <c r="O34" s="90"/>
      <c r="P34" s="90"/>
      <c r="Q34" s="90"/>
      <c r="R34" s="90"/>
      <c r="S34" s="90"/>
    </row>
    <row r="35" spans="1:19" x14ac:dyDescent="0.2">
      <c r="A35" s="90"/>
      <c r="B35" s="90"/>
      <c r="C35" s="90"/>
      <c r="D35" s="90"/>
      <c r="E35" s="90"/>
      <c r="F35" s="90"/>
      <c r="G35" s="90"/>
      <c r="H35" s="90"/>
      <c r="I35" s="90"/>
      <c r="J35" s="90"/>
      <c r="K35" s="90"/>
      <c r="L35" s="90"/>
      <c r="M35" s="90"/>
      <c r="N35" s="90"/>
      <c r="O35" s="90"/>
      <c r="P35" s="90"/>
      <c r="Q35" s="90"/>
      <c r="R35" s="90"/>
      <c r="S35" s="90"/>
    </row>
    <row r="36" spans="1:19" x14ac:dyDescent="0.2">
      <c r="A36" s="90"/>
      <c r="B36" s="90"/>
      <c r="C36" s="90"/>
      <c r="D36" s="90"/>
      <c r="E36" s="90"/>
      <c r="F36" s="90"/>
      <c r="G36" s="90"/>
      <c r="H36" s="90"/>
      <c r="I36" s="90"/>
      <c r="J36" s="90"/>
      <c r="K36" s="90"/>
      <c r="L36" s="90"/>
      <c r="M36" s="90"/>
      <c r="N36" s="90"/>
      <c r="O36" s="90"/>
      <c r="P36" s="90"/>
      <c r="Q36" s="90"/>
      <c r="R36" s="90"/>
      <c r="S36" s="90"/>
    </row>
    <row r="37" spans="1:19" x14ac:dyDescent="0.2">
      <c r="A37" s="90"/>
      <c r="B37" s="90"/>
      <c r="C37" s="90"/>
      <c r="D37" s="90"/>
      <c r="E37" s="90"/>
      <c r="F37" s="90"/>
      <c r="G37" s="90"/>
      <c r="H37" s="90"/>
      <c r="I37" s="90"/>
      <c r="J37" s="90"/>
      <c r="K37" s="90"/>
      <c r="L37" s="90"/>
      <c r="M37" s="90"/>
      <c r="N37" s="90"/>
      <c r="O37" s="90"/>
      <c r="P37" s="90"/>
      <c r="Q37" s="90"/>
      <c r="R37" s="90"/>
      <c r="S37" s="90"/>
    </row>
    <row r="38" spans="1:19" x14ac:dyDescent="0.2">
      <c r="A38" s="90"/>
      <c r="B38" s="90"/>
      <c r="C38" s="90"/>
      <c r="D38" s="90"/>
      <c r="E38" s="90"/>
      <c r="F38" s="90"/>
      <c r="G38" s="90"/>
      <c r="H38" s="90"/>
      <c r="I38" s="90"/>
      <c r="J38" s="90"/>
      <c r="K38" s="90"/>
      <c r="L38" s="90"/>
      <c r="M38" s="90"/>
      <c r="N38" s="90"/>
      <c r="O38" s="90"/>
      <c r="P38" s="90"/>
      <c r="Q38" s="90"/>
      <c r="R38" s="90"/>
      <c r="S38" s="90"/>
    </row>
    <row r="39" spans="1:19" x14ac:dyDescent="0.2">
      <c r="A39" s="90"/>
      <c r="B39" s="90"/>
      <c r="C39" s="90"/>
      <c r="D39" s="90"/>
      <c r="E39" s="90"/>
      <c r="F39" s="90"/>
      <c r="G39" s="90"/>
      <c r="H39" s="90"/>
      <c r="I39" s="90"/>
      <c r="J39" s="90"/>
      <c r="K39" s="90"/>
      <c r="L39" s="90"/>
      <c r="M39" s="90"/>
      <c r="N39" s="90"/>
      <c r="O39" s="90"/>
      <c r="P39" s="90"/>
      <c r="Q39" s="90"/>
      <c r="R39" s="90"/>
      <c r="S39" s="90"/>
    </row>
    <row r="40" spans="1:19" x14ac:dyDescent="0.2">
      <c r="A40" s="90"/>
      <c r="B40" s="90"/>
      <c r="C40" s="90"/>
      <c r="D40" s="90"/>
      <c r="E40" s="90"/>
      <c r="F40" s="90"/>
      <c r="G40" s="90"/>
      <c r="H40" s="90"/>
      <c r="I40" s="90"/>
      <c r="J40" s="90"/>
      <c r="K40" s="90"/>
      <c r="L40" s="90"/>
      <c r="M40" s="90"/>
      <c r="N40" s="90"/>
      <c r="O40" s="90"/>
      <c r="P40" s="90"/>
      <c r="Q40" s="90"/>
      <c r="R40" s="90"/>
      <c r="S40" s="90"/>
    </row>
    <row r="41" spans="1:19" x14ac:dyDescent="0.2">
      <c r="A41" s="90"/>
      <c r="B41" s="90"/>
      <c r="C41" s="90"/>
      <c r="D41" s="90"/>
      <c r="E41" s="90"/>
      <c r="F41" s="90"/>
      <c r="G41" s="90"/>
      <c r="H41" s="90"/>
      <c r="I41" s="90"/>
      <c r="J41" s="90"/>
      <c r="K41" s="90"/>
      <c r="L41" s="90"/>
      <c r="M41" s="90"/>
      <c r="N41" s="90"/>
      <c r="O41" s="90"/>
      <c r="P41" s="90"/>
      <c r="Q41" s="90"/>
      <c r="R41" s="90"/>
      <c r="S41" s="90"/>
    </row>
    <row r="42" spans="1:19" x14ac:dyDescent="0.2">
      <c r="A42" s="90"/>
      <c r="B42" s="90"/>
      <c r="C42" s="90"/>
      <c r="D42" s="90"/>
      <c r="E42" s="90"/>
      <c r="F42" s="90"/>
      <c r="G42" s="90"/>
      <c r="H42" s="90"/>
      <c r="I42" s="90"/>
      <c r="J42" s="90"/>
      <c r="K42" s="90"/>
      <c r="L42" s="90"/>
      <c r="M42" s="90"/>
      <c r="N42" s="90"/>
      <c r="O42" s="90"/>
      <c r="P42" s="90"/>
      <c r="Q42" s="90"/>
      <c r="R42" s="90"/>
      <c r="S42" s="90"/>
    </row>
    <row r="43" spans="1:19" x14ac:dyDescent="0.2">
      <c r="A43" s="90"/>
      <c r="B43" s="90"/>
      <c r="C43" s="90"/>
      <c r="D43" s="90"/>
      <c r="E43" s="90"/>
      <c r="F43" s="90"/>
      <c r="G43" s="90"/>
      <c r="H43" s="90"/>
      <c r="I43" s="90"/>
      <c r="J43" s="90"/>
      <c r="K43" s="90"/>
      <c r="L43" s="90"/>
      <c r="M43" s="90"/>
      <c r="N43" s="90"/>
      <c r="O43" s="90"/>
      <c r="P43" s="90"/>
      <c r="Q43" s="90"/>
      <c r="R43" s="90"/>
      <c r="S43" s="90"/>
    </row>
    <row r="44" spans="1:19" x14ac:dyDescent="0.2">
      <c r="A44" s="90"/>
      <c r="B44" s="90"/>
      <c r="C44" s="90"/>
      <c r="D44" s="90"/>
      <c r="E44" s="90"/>
      <c r="F44" s="90"/>
      <c r="G44" s="90"/>
      <c r="H44" s="90"/>
      <c r="I44" s="90"/>
      <c r="J44" s="90"/>
      <c r="K44" s="90"/>
      <c r="L44" s="90"/>
      <c r="M44" s="90"/>
      <c r="N44" s="90"/>
      <c r="O44" s="90"/>
      <c r="P44" s="90"/>
      <c r="Q44" s="90"/>
      <c r="R44" s="90"/>
      <c r="S44" s="90"/>
    </row>
    <row r="45" spans="1:19" x14ac:dyDescent="0.2">
      <c r="A45" s="90"/>
      <c r="B45" s="90"/>
      <c r="C45" s="90"/>
      <c r="D45" s="90"/>
      <c r="E45" s="90"/>
      <c r="F45" s="90"/>
      <c r="G45" s="90"/>
      <c r="H45" s="90"/>
      <c r="I45" s="90"/>
      <c r="J45" s="90"/>
      <c r="K45" s="90"/>
      <c r="L45" s="90"/>
      <c r="M45" s="90"/>
      <c r="N45" s="90"/>
      <c r="O45" s="90"/>
      <c r="P45" s="90"/>
      <c r="Q45" s="90"/>
      <c r="R45" s="90"/>
      <c r="S45" s="90"/>
    </row>
    <row r="46" spans="1:19" x14ac:dyDescent="0.2">
      <c r="A46" s="90"/>
      <c r="B46" s="90"/>
      <c r="C46" s="90"/>
      <c r="D46" s="90"/>
      <c r="E46" s="90"/>
      <c r="F46" s="90"/>
      <c r="G46" s="90"/>
      <c r="H46" s="90"/>
      <c r="I46" s="90"/>
      <c r="J46" s="90"/>
      <c r="K46" s="90"/>
      <c r="L46" s="90"/>
      <c r="M46" s="90"/>
      <c r="N46" s="90"/>
      <c r="O46" s="90"/>
      <c r="P46" s="90"/>
      <c r="Q46" s="90"/>
      <c r="R46" s="90"/>
      <c r="S46" s="90"/>
    </row>
  </sheetData>
  <sheetProtection sheet="1" objects="1" scenarios="1"/>
  <mergeCells count="4">
    <mergeCell ref="A1:I1"/>
    <mergeCell ref="A11:I11"/>
    <mergeCell ref="A2:I2"/>
    <mergeCell ref="A12:I12"/>
  </mergeCells>
  <phoneticPr fontId="2" type="noConversion"/>
  <hyperlinks>
    <hyperlink ref="B7" location="CTillCharts!G97" display="Soybean &amp; Cotton Price Comparison" xr:uid="{00000000-0004-0000-0500-000000000000}"/>
    <hyperlink ref="B5" location="CTillCharts!G63" display="Corn &amp; Cotton Price Comparison" xr:uid="{00000000-0004-0000-0500-000001000000}"/>
    <hyperlink ref="B3" location="CTillCharts!G29" display="Peanut &amp; Cotton Price Comparison" xr:uid="{00000000-0004-0000-0500-000002000000}"/>
    <hyperlink ref="D5" location="CTillCharts!G165" display="Corn &amp; Peanut Price Comparison" xr:uid="{00000000-0004-0000-0500-000003000000}"/>
    <hyperlink ref="D7" location="CTillCharts!G199" display="Soybean &amp; Peanut Price Comparison" xr:uid="{00000000-0004-0000-0500-000004000000}"/>
    <hyperlink ref="F3" location="CTillCharts!G233" display="Cotton &amp; Corn Price Comparison" xr:uid="{00000000-0004-0000-0500-000005000000}"/>
    <hyperlink ref="F5" location="CTillCharts!G267" display="Peanut &amp; Corn Price Comparison" xr:uid="{00000000-0004-0000-0500-000006000000}"/>
    <hyperlink ref="F7" location="CTillCharts!G301" display="Soybean &amp; Corn Price Comparison" xr:uid="{00000000-0004-0000-0500-000007000000}"/>
    <hyperlink ref="H3" location="CTillCharts!G334" display="Cotton &amp; Soybean Price Comparison" xr:uid="{00000000-0004-0000-0500-000008000000}"/>
    <hyperlink ref="H5" location="CTillCharts!G369" display="Peanut &amp; Soybean Price Comparison" xr:uid="{00000000-0004-0000-0500-000009000000}"/>
    <hyperlink ref="H7" location="CTillCharts!G403" display="Corn &amp; Soybean Price Comparison" xr:uid="{00000000-0004-0000-0500-00000A000000}"/>
    <hyperlink ref="D13" location="STillCharts!G131" display="Cotton &amp; Peanut Price Comparison" xr:uid="{00000000-0004-0000-0500-00000B000000}"/>
    <hyperlink ref="B17" location="STillCharts!G97" display="Soybean &amp; Cotton Price Comparison" xr:uid="{00000000-0004-0000-0500-00000C000000}"/>
    <hyperlink ref="B15" location="STillCharts!G63" display="Corn &amp; Cotton Price Comparison" xr:uid="{00000000-0004-0000-0500-00000D000000}"/>
    <hyperlink ref="B13" location="STillCharts!G29" display="Peanut &amp; Cotton Price Comparison" xr:uid="{00000000-0004-0000-0500-00000E000000}"/>
    <hyperlink ref="D15" location="STillCharts!G165" display="Corn &amp; Peanut Price Comparison" xr:uid="{00000000-0004-0000-0500-00000F000000}"/>
    <hyperlink ref="D17" location="STillCharts!G199" display="Soybean &amp; Peanut Price Comparison" xr:uid="{00000000-0004-0000-0500-000010000000}"/>
    <hyperlink ref="F13" location="STillCharts!G233" display="Cotton &amp; Corn Price Comparison" xr:uid="{00000000-0004-0000-0500-000011000000}"/>
    <hyperlink ref="F15" location="STillCharts!G267" display="Peanut &amp; Corn Price Comparison" xr:uid="{00000000-0004-0000-0500-000012000000}"/>
    <hyperlink ref="F17" location="STillCharts!G301" display="Soybean &amp; Corn Price Comparison" xr:uid="{00000000-0004-0000-0500-000013000000}"/>
    <hyperlink ref="H13" location="STillCharts!G334" display="Cotton &amp; Soybean Price Comparison" xr:uid="{00000000-0004-0000-0500-000014000000}"/>
    <hyperlink ref="H15" location="STillCharts!G369" display="Peanut &amp; Soybean Price Comparison" xr:uid="{00000000-0004-0000-0500-000015000000}"/>
    <hyperlink ref="H17" location="STillCharts!G403" display="Corn &amp; Soybean Price Comparison" xr:uid="{00000000-0004-0000-0500-000016000000}"/>
    <hyperlink ref="D3" location="CTillCharts!G131" display="Cotton &amp; Peanut Price Comparison" xr:uid="{00000000-0004-0000-0500-000017000000}"/>
  </hyperlinks>
  <pageMargins left="0.7" right="0.7" top="0.75" bottom="0.75" header="0.3" footer="0.3"/>
  <pageSetup scale="84" orientation="landscape" r:id="rId1"/>
  <headerFoot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29:M407"/>
  <sheetViews>
    <sheetView zoomScaleNormal="100" zoomScaleSheetLayoutView="100" zoomScalePageLayoutView="120" workbookViewId="0">
      <selection activeCell="G29" sqref="G29"/>
    </sheetView>
  </sheetViews>
  <sheetFormatPr baseColWidth="10" defaultColWidth="8.83203125" defaultRowHeight="14" x14ac:dyDescent="0.2"/>
  <cols>
    <col min="1" max="26" width="8.83203125" style="90"/>
    <col min="27" max="27" width="8.83203125" style="90" customWidth="1"/>
    <col min="28" max="16384" width="8.83203125" style="90"/>
  </cols>
  <sheetData>
    <row r="29" spans="1:11" x14ac:dyDescent="0.2">
      <c r="A29" s="433" t="s">
        <v>93</v>
      </c>
      <c r="B29" s="433"/>
      <c r="C29" s="433"/>
      <c r="D29" s="433"/>
      <c r="E29" s="433"/>
      <c r="F29" s="433"/>
    </row>
    <row r="30" spans="1:11" x14ac:dyDescent="0.2">
      <c r="A30" s="210" t="s">
        <v>86</v>
      </c>
      <c r="B30" s="432" t="s">
        <v>90</v>
      </c>
      <c r="C30" s="432"/>
      <c r="D30" s="432"/>
      <c r="E30" s="432"/>
      <c r="F30" s="432"/>
      <c r="G30" s="432"/>
      <c r="H30" s="432"/>
      <c r="I30" s="432"/>
      <c r="J30" s="432"/>
      <c r="K30" s="432"/>
    </row>
    <row r="31" spans="1:11" x14ac:dyDescent="0.2">
      <c r="A31" s="210" t="s">
        <v>87</v>
      </c>
      <c r="B31" s="432" t="str">
        <f>CONCATENATE("Irrigated peanut yield is ",Conventional!$D$7," lbs. and irrigated cotton yield is ",Conventional!$B$7," lbs.")</f>
        <v>Irrigated peanut yield is 4700 lbs. and irrigated cotton yield is 1200 lbs.</v>
      </c>
      <c r="C31" s="432"/>
      <c r="D31" s="432"/>
      <c r="E31" s="432"/>
      <c r="F31" s="432"/>
      <c r="G31" s="432"/>
      <c r="H31" s="432"/>
      <c r="I31" s="159"/>
      <c r="J31" s="159"/>
      <c r="K31" s="159"/>
    </row>
    <row r="32" spans="1:11" x14ac:dyDescent="0.2">
      <c r="A32" s="210" t="s">
        <v>88</v>
      </c>
      <c r="B32" s="432" t="str">
        <f>CONCATENATE("Non-irrigated peanut yield is ",Conventional!$N$7," lbs. and non-irrigated cotton yield is ",Conventional!$L$7," lbs.")</f>
        <v>Non-irrigated peanut yield is 3400 lbs. and non-irrigated cotton yield is 750 lbs.</v>
      </c>
      <c r="C32" s="432"/>
      <c r="D32" s="432"/>
      <c r="E32" s="432"/>
      <c r="F32" s="432"/>
      <c r="G32" s="432"/>
      <c r="H32" s="432"/>
      <c r="I32" s="432"/>
      <c r="J32" s="159"/>
      <c r="K32" s="159"/>
    </row>
    <row r="33" spans="1:13" x14ac:dyDescent="0.2">
      <c r="A33" s="210" t="s">
        <v>89</v>
      </c>
      <c r="B33" s="432" t="s">
        <v>104</v>
      </c>
      <c r="C33" s="432"/>
      <c r="D33" s="432"/>
      <c r="E33" s="432"/>
      <c r="F33" s="432"/>
      <c r="G33" s="432"/>
      <c r="H33" s="432"/>
      <c r="I33" s="432"/>
      <c r="J33" s="432"/>
      <c r="K33" s="432"/>
      <c r="L33" s="432"/>
      <c r="M33" s="432"/>
    </row>
    <row r="63" spans="1:11" x14ac:dyDescent="0.2">
      <c r="A63" s="432" t="s">
        <v>93</v>
      </c>
      <c r="B63" s="432"/>
      <c r="C63" s="432"/>
      <c r="D63" s="432"/>
      <c r="E63" s="432"/>
      <c r="F63" s="432"/>
    </row>
    <row r="64" spans="1:11" x14ac:dyDescent="0.2">
      <c r="A64" s="210" t="s">
        <v>86</v>
      </c>
      <c r="B64" s="432" t="s">
        <v>91</v>
      </c>
      <c r="C64" s="432"/>
      <c r="D64" s="432"/>
      <c r="E64" s="432"/>
      <c r="F64" s="432"/>
      <c r="G64" s="432"/>
      <c r="H64" s="432"/>
      <c r="I64" s="432"/>
      <c r="J64" s="432"/>
      <c r="K64" s="432"/>
    </row>
    <row r="65" spans="1:13" x14ac:dyDescent="0.2">
      <c r="A65" s="210" t="s">
        <v>87</v>
      </c>
      <c r="B65" s="432" t="str">
        <f>CONCATENATE("Irrigated corn yield is ",Conventional!$F$7," bu. and irrigated cotton yield is ",Conventional!$B$7," lbs.")</f>
        <v>Irrigated corn yield is 200 bu. and irrigated cotton yield is 1200 lbs.</v>
      </c>
      <c r="C65" s="432"/>
      <c r="D65" s="432"/>
      <c r="E65" s="432"/>
      <c r="F65" s="432"/>
      <c r="G65" s="432"/>
      <c r="H65" s="432"/>
      <c r="I65" s="159"/>
      <c r="J65" s="159"/>
      <c r="K65" s="159"/>
    </row>
    <row r="66" spans="1:13" x14ac:dyDescent="0.2">
      <c r="A66" s="210" t="s">
        <v>88</v>
      </c>
      <c r="B66" s="432" t="str">
        <f>CONCATENATE("Non-irrigated corn yield is ",Conventional!$P$7," bu. and non-irrigated cotton yield is ",Conventional!$L$7," lbs.")</f>
        <v>Non-irrigated corn yield is 85 bu. and non-irrigated cotton yield is 750 lbs.</v>
      </c>
      <c r="C66" s="432"/>
      <c r="D66" s="432"/>
      <c r="E66" s="432"/>
      <c r="F66" s="432"/>
      <c r="G66" s="432"/>
      <c r="H66" s="432"/>
      <c r="I66" s="432"/>
      <c r="J66" s="159"/>
      <c r="K66" s="159"/>
    </row>
    <row r="67" spans="1:13" x14ac:dyDescent="0.2">
      <c r="A67" s="210" t="s">
        <v>89</v>
      </c>
      <c r="B67" s="432" t="s">
        <v>104</v>
      </c>
      <c r="C67" s="432"/>
      <c r="D67" s="432"/>
      <c r="E67" s="432"/>
      <c r="F67" s="432"/>
      <c r="G67" s="432"/>
      <c r="H67" s="432"/>
      <c r="I67" s="432"/>
      <c r="J67" s="432"/>
      <c r="K67" s="432"/>
      <c r="L67" s="432"/>
      <c r="M67" s="432"/>
    </row>
    <row r="97" spans="1:13" x14ac:dyDescent="0.2">
      <c r="A97" s="432" t="s">
        <v>93</v>
      </c>
      <c r="B97" s="432"/>
      <c r="C97" s="432"/>
      <c r="D97" s="432"/>
      <c r="E97" s="432"/>
      <c r="F97" s="432"/>
    </row>
    <row r="98" spans="1:13" x14ac:dyDescent="0.2">
      <c r="A98" s="210" t="s">
        <v>86</v>
      </c>
      <c r="B98" s="432" t="s">
        <v>92</v>
      </c>
      <c r="C98" s="432"/>
      <c r="D98" s="432"/>
      <c r="E98" s="432"/>
      <c r="F98" s="432"/>
      <c r="G98" s="432"/>
      <c r="H98" s="432"/>
      <c r="I98" s="432"/>
      <c r="J98" s="432"/>
      <c r="K98" s="432"/>
      <c r="L98" s="432"/>
    </row>
    <row r="99" spans="1:13" x14ac:dyDescent="0.2">
      <c r="A99" s="210" t="s">
        <v>87</v>
      </c>
      <c r="B99" s="432" t="str">
        <f>CONCATENATE("Irrigated soybean yield is ",Conventional!$H$7," bu. and irrigated cotton yield is ",Conventional!$B$7," lbs.")</f>
        <v>Irrigated soybean yield is 60 bu. and irrigated cotton yield is 1200 lbs.</v>
      </c>
      <c r="C99" s="432"/>
      <c r="D99" s="432"/>
      <c r="E99" s="432"/>
      <c r="F99" s="432"/>
      <c r="G99" s="432"/>
      <c r="H99" s="432"/>
      <c r="I99" s="159"/>
      <c r="J99" s="159"/>
      <c r="K99" s="159"/>
    </row>
    <row r="100" spans="1:13" x14ac:dyDescent="0.2">
      <c r="A100" s="210" t="s">
        <v>88</v>
      </c>
      <c r="B100" s="432" t="str">
        <f>CONCATENATE("Non-irrigated soybean yield is ",Conventional!$R$7," bu. and non-irrigated cotton yield is ",Conventional!$L$7," lbs.")</f>
        <v>Non-irrigated soybean yield is 30 bu. and non-irrigated cotton yield is 750 lbs.</v>
      </c>
      <c r="C100" s="432"/>
      <c r="D100" s="432"/>
      <c r="E100" s="432"/>
      <c r="F100" s="432"/>
      <c r="G100" s="432"/>
      <c r="H100" s="432"/>
      <c r="I100" s="432"/>
      <c r="J100" s="159"/>
      <c r="K100" s="159"/>
    </row>
    <row r="101" spans="1:13" x14ac:dyDescent="0.2">
      <c r="A101" s="210" t="s">
        <v>89</v>
      </c>
      <c r="B101" s="432" t="s">
        <v>104</v>
      </c>
      <c r="C101" s="432"/>
      <c r="D101" s="432"/>
      <c r="E101" s="432"/>
      <c r="F101" s="432"/>
      <c r="G101" s="432"/>
      <c r="H101" s="432"/>
      <c r="I101" s="432"/>
      <c r="J101" s="432"/>
      <c r="K101" s="432"/>
      <c r="L101" s="432"/>
      <c r="M101" s="432"/>
    </row>
    <row r="131" spans="1:13" x14ac:dyDescent="0.2">
      <c r="A131" s="433" t="s">
        <v>93</v>
      </c>
      <c r="B131" s="433"/>
      <c r="C131" s="433"/>
      <c r="D131" s="433"/>
      <c r="E131" s="433"/>
      <c r="F131" s="433"/>
    </row>
    <row r="132" spans="1:13" x14ac:dyDescent="0.2">
      <c r="A132" s="210" t="s">
        <v>86</v>
      </c>
      <c r="B132" s="432" t="s">
        <v>94</v>
      </c>
      <c r="C132" s="432"/>
      <c r="D132" s="432"/>
      <c r="E132" s="432"/>
      <c r="F132" s="432"/>
      <c r="G132" s="432"/>
      <c r="H132" s="432"/>
      <c r="I132" s="432"/>
      <c r="J132" s="432"/>
      <c r="K132" s="432"/>
    </row>
    <row r="133" spans="1:13" x14ac:dyDescent="0.2">
      <c r="A133" s="210" t="s">
        <v>87</v>
      </c>
      <c r="B133" s="432" t="str">
        <f>CONCATENATE("Irrigated cotton yield is ",Conventional!$B$7," lbs. and irrigated peanut yield is ",Conventional!$D$7," lbs.")</f>
        <v>Irrigated cotton yield is 1200 lbs. and irrigated peanut yield is 4700 lbs.</v>
      </c>
      <c r="C133" s="432"/>
      <c r="D133" s="432"/>
      <c r="E133" s="432"/>
      <c r="F133" s="432"/>
      <c r="G133" s="432"/>
      <c r="H133" s="432"/>
      <c r="I133" s="159"/>
      <c r="J133" s="159"/>
      <c r="K133" s="159"/>
    </row>
    <row r="134" spans="1:13" x14ac:dyDescent="0.2">
      <c r="A134" s="210" t="s">
        <v>88</v>
      </c>
      <c r="B134" s="432" t="str">
        <f>CONCATENATE("Non-irrigated cotton yield is ",Conventional!$L$7," lbs. and non-irrigated peanut yield is ",Conventional!$N$7," lbs.")</f>
        <v>Non-irrigated cotton yield is 750 lbs. and non-irrigated peanut yield is 3400 lbs.</v>
      </c>
      <c r="C134" s="432"/>
      <c r="D134" s="432"/>
      <c r="E134" s="432"/>
      <c r="F134" s="432"/>
      <c r="G134" s="432"/>
      <c r="H134" s="432"/>
      <c r="I134" s="432"/>
      <c r="J134" s="159"/>
      <c r="K134" s="159"/>
    </row>
    <row r="135" spans="1:13" x14ac:dyDescent="0.2">
      <c r="A135" s="210" t="s">
        <v>89</v>
      </c>
      <c r="B135" s="432" t="s">
        <v>104</v>
      </c>
      <c r="C135" s="432"/>
      <c r="D135" s="432"/>
      <c r="E135" s="432"/>
      <c r="F135" s="432"/>
      <c r="G135" s="432"/>
      <c r="H135" s="432"/>
      <c r="I135" s="432"/>
      <c r="J135" s="432"/>
      <c r="K135" s="432"/>
      <c r="L135" s="432"/>
      <c r="M135" s="432"/>
    </row>
    <row r="165" spans="1:13" x14ac:dyDescent="0.2">
      <c r="A165" s="432" t="s">
        <v>93</v>
      </c>
      <c r="B165" s="432"/>
      <c r="C165" s="432"/>
      <c r="D165" s="432"/>
      <c r="E165" s="432"/>
      <c r="F165" s="432"/>
    </row>
    <row r="166" spans="1:13" x14ac:dyDescent="0.2">
      <c r="A166" s="210" t="s">
        <v>86</v>
      </c>
      <c r="B166" s="432" t="s">
        <v>95</v>
      </c>
      <c r="C166" s="432"/>
      <c r="D166" s="432"/>
      <c r="E166" s="432"/>
      <c r="F166" s="432"/>
      <c r="G166" s="432"/>
      <c r="H166" s="432"/>
      <c r="I166" s="432"/>
      <c r="J166" s="432"/>
      <c r="K166" s="432"/>
    </row>
    <row r="167" spans="1:13" x14ac:dyDescent="0.2">
      <c r="A167" s="210" t="s">
        <v>87</v>
      </c>
      <c r="B167" s="432" t="str">
        <f>CONCATENATE("Irrigated corn yield is ",Conventional!$F$7," bu. and irrigated peanut yield is ",Conventional!$D$7," lbs.")</f>
        <v>Irrigated corn yield is 200 bu. and irrigated peanut yield is 4700 lbs.</v>
      </c>
      <c r="C167" s="432"/>
      <c r="D167" s="432"/>
      <c r="E167" s="432"/>
      <c r="F167" s="432"/>
      <c r="G167" s="432"/>
      <c r="H167" s="432"/>
      <c r="I167" s="159"/>
      <c r="J167" s="159"/>
      <c r="K167" s="159"/>
    </row>
    <row r="168" spans="1:13" x14ac:dyDescent="0.2">
      <c r="A168" s="210" t="s">
        <v>88</v>
      </c>
      <c r="B168" s="432" t="str">
        <f>CONCATENATE("Non-irrigated corn yield is ",Conventional!$P$7," bu. and non-irrigated peanut yield is ",Conventional!$N$7," lbs.")</f>
        <v>Non-irrigated corn yield is 85 bu. and non-irrigated peanut yield is 3400 lbs.</v>
      </c>
      <c r="C168" s="432"/>
      <c r="D168" s="432"/>
      <c r="E168" s="432"/>
      <c r="F168" s="432"/>
      <c r="G168" s="432"/>
      <c r="H168" s="432"/>
      <c r="I168" s="432"/>
      <c r="J168" s="159"/>
      <c r="K168" s="159"/>
    </row>
    <row r="169" spans="1:13" x14ac:dyDescent="0.2">
      <c r="A169" s="210" t="s">
        <v>89</v>
      </c>
      <c r="B169" s="432" t="s">
        <v>104</v>
      </c>
      <c r="C169" s="432"/>
      <c r="D169" s="432"/>
      <c r="E169" s="432"/>
      <c r="F169" s="432"/>
      <c r="G169" s="432"/>
      <c r="H169" s="432"/>
      <c r="I169" s="432"/>
      <c r="J169" s="432"/>
      <c r="K169" s="432"/>
      <c r="L169" s="432"/>
      <c r="M169" s="432"/>
    </row>
    <row r="199" spans="1:13" x14ac:dyDescent="0.2">
      <c r="A199" s="432" t="s">
        <v>93</v>
      </c>
      <c r="B199" s="432"/>
      <c r="C199" s="432"/>
      <c r="D199" s="432"/>
      <c r="E199" s="432"/>
      <c r="F199" s="432"/>
    </row>
    <row r="200" spans="1:13" x14ac:dyDescent="0.2">
      <c r="A200" s="210" t="s">
        <v>86</v>
      </c>
      <c r="B200" s="432" t="s">
        <v>96</v>
      </c>
      <c r="C200" s="432"/>
      <c r="D200" s="432"/>
      <c r="E200" s="432"/>
      <c r="F200" s="432"/>
      <c r="G200" s="432"/>
      <c r="H200" s="432"/>
      <c r="I200" s="432"/>
      <c r="J200" s="432"/>
      <c r="K200" s="432"/>
      <c r="L200" s="432"/>
    </row>
    <row r="201" spans="1:13" x14ac:dyDescent="0.2">
      <c r="A201" s="210" t="s">
        <v>87</v>
      </c>
      <c r="B201" s="432" t="str">
        <f>CONCATENATE("Irrigated soybean yield is ",Conventional!$H$7," bu. and irrigated peanut yield is ",Conventional!$D$7," lbs.")</f>
        <v>Irrigated soybean yield is 60 bu. and irrigated peanut yield is 4700 lbs.</v>
      </c>
      <c r="C201" s="432"/>
      <c r="D201" s="432"/>
      <c r="E201" s="432"/>
      <c r="F201" s="432"/>
      <c r="G201" s="432"/>
      <c r="H201" s="432"/>
      <c r="I201" s="159"/>
      <c r="J201" s="159"/>
      <c r="K201" s="159"/>
    </row>
    <row r="202" spans="1:13" x14ac:dyDescent="0.2">
      <c r="A202" s="210" t="s">
        <v>88</v>
      </c>
      <c r="B202" s="432" t="str">
        <f>CONCATENATE("Non-irrigated soybean yield is ",Conventional!$R$7," bu. and non-irrigated peanut yield is ",Conventional!$N$7," lbs.")</f>
        <v>Non-irrigated soybean yield is 30 bu. and non-irrigated peanut yield is 3400 lbs.</v>
      </c>
      <c r="C202" s="432"/>
      <c r="D202" s="432"/>
      <c r="E202" s="432"/>
      <c r="F202" s="432"/>
      <c r="G202" s="432"/>
      <c r="H202" s="432"/>
      <c r="I202" s="432"/>
      <c r="J202" s="159"/>
      <c r="K202" s="159"/>
    </row>
    <row r="203" spans="1:13" x14ac:dyDescent="0.2">
      <c r="A203" s="210" t="s">
        <v>89</v>
      </c>
      <c r="B203" s="432" t="s">
        <v>104</v>
      </c>
      <c r="C203" s="432"/>
      <c r="D203" s="432"/>
      <c r="E203" s="432"/>
      <c r="F203" s="432"/>
      <c r="G203" s="432"/>
      <c r="H203" s="432"/>
      <c r="I203" s="432"/>
      <c r="J203" s="432"/>
      <c r="K203" s="432"/>
      <c r="L203" s="432"/>
      <c r="M203" s="432"/>
    </row>
    <row r="233" spans="1:13" x14ac:dyDescent="0.2">
      <c r="A233" s="433" t="s">
        <v>93</v>
      </c>
      <c r="B233" s="433"/>
      <c r="C233" s="433"/>
      <c r="D233" s="433"/>
      <c r="E233" s="433"/>
      <c r="F233" s="433"/>
    </row>
    <row r="234" spans="1:13" x14ac:dyDescent="0.2">
      <c r="A234" s="210" t="s">
        <v>86</v>
      </c>
      <c r="B234" s="432" t="s">
        <v>97</v>
      </c>
      <c r="C234" s="432"/>
      <c r="D234" s="432"/>
      <c r="E234" s="432"/>
      <c r="F234" s="432"/>
      <c r="G234" s="432"/>
      <c r="H234" s="432"/>
      <c r="I234" s="432"/>
      <c r="J234" s="432"/>
      <c r="K234" s="432"/>
    </row>
    <row r="235" spans="1:13" x14ac:dyDescent="0.2">
      <c r="A235" s="210" t="s">
        <v>87</v>
      </c>
      <c r="B235" s="432" t="str">
        <f>CONCATENATE("Irrigated cotton yield is ",Conventional!$B$7," lbs. and irrigated corn yield is ",Conventional!$F$7," bu.")</f>
        <v>Irrigated cotton yield is 1200 lbs. and irrigated corn yield is 200 bu.</v>
      </c>
      <c r="C235" s="432"/>
      <c r="D235" s="432"/>
      <c r="E235" s="432"/>
      <c r="F235" s="432"/>
      <c r="G235" s="432"/>
      <c r="H235" s="432"/>
      <c r="I235" s="159"/>
      <c r="J235" s="159"/>
      <c r="K235" s="159"/>
    </row>
    <row r="236" spans="1:13" x14ac:dyDescent="0.2">
      <c r="A236" s="210" t="s">
        <v>88</v>
      </c>
      <c r="B236" s="432" t="str">
        <f>CONCATENATE("Non-irrigated cotton yield is ",Conventional!$L$7," lbs. and non-irrigated corn yield is ",Conventional!$P$7," bu.")</f>
        <v>Non-irrigated cotton yield is 750 lbs. and non-irrigated corn yield is 85 bu.</v>
      </c>
      <c r="C236" s="432"/>
      <c r="D236" s="432"/>
      <c r="E236" s="432"/>
      <c r="F236" s="432"/>
      <c r="G236" s="432"/>
      <c r="H236" s="432"/>
      <c r="I236" s="432"/>
      <c r="J236" s="159"/>
      <c r="K236" s="159"/>
    </row>
    <row r="237" spans="1:13" x14ac:dyDescent="0.2">
      <c r="A237" s="210" t="s">
        <v>89</v>
      </c>
      <c r="B237" s="432" t="s">
        <v>104</v>
      </c>
      <c r="C237" s="432"/>
      <c r="D237" s="432"/>
      <c r="E237" s="432"/>
      <c r="F237" s="432"/>
      <c r="G237" s="432"/>
      <c r="H237" s="432"/>
      <c r="I237" s="432"/>
      <c r="J237" s="432"/>
      <c r="K237" s="432"/>
      <c r="L237" s="432"/>
      <c r="M237" s="432"/>
    </row>
    <row r="267" spans="1:13" x14ac:dyDescent="0.2">
      <c r="A267" s="432" t="s">
        <v>93</v>
      </c>
      <c r="B267" s="432"/>
      <c r="C267" s="432"/>
      <c r="D267" s="432"/>
      <c r="E267" s="432"/>
      <c r="F267" s="432"/>
    </row>
    <row r="268" spans="1:13" x14ac:dyDescent="0.2">
      <c r="A268" s="210" t="s">
        <v>86</v>
      </c>
      <c r="B268" s="432" t="s">
        <v>98</v>
      </c>
      <c r="C268" s="432"/>
      <c r="D268" s="432"/>
      <c r="E268" s="432"/>
      <c r="F268" s="432"/>
      <c r="G268" s="432"/>
      <c r="H268" s="432"/>
      <c r="I268" s="432"/>
      <c r="J268" s="432"/>
      <c r="K268" s="432"/>
    </row>
    <row r="269" spans="1:13" x14ac:dyDescent="0.2">
      <c r="A269" s="210" t="s">
        <v>87</v>
      </c>
      <c r="B269" s="432" t="str">
        <f>CONCATENATE("Irrigated peanut yield is ",Conventional!$D$7," lbs. and irrigated corn yield is ",Conventional!$F$7," bu.")</f>
        <v>Irrigated peanut yield is 4700 lbs. and irrigated corn yield is 200 bu.</v>
      </c>
      <c r="C269" s="432"/>
      <c r="D269" s="432"/>
      <c r="E269" s="432"/>
      <c r="F269" s="432"/>
      <c r="G269" s="432"/>
      <c r="H269" s="432"/>
      <c r="I269" s="159"/>
      <c r="J269" s="159"/>
      <c r="K269" s="159"/>
    </row>
    <row r="270" spans="1:13" x14ac:dyDescent="0.2">
      <c r="A270" s="210" t="s">
        <v>88</v>
      </c>
      <c r="B270" s="432" t="str">
        <f>CONCATENATE("Non-irrigated peanut yield is ",Conventional!$N$7," lbs. and non-irrigated corn yield is ",Conventional!$P$7," bu.")</f>
        <v>Non-irrigated peanut yield is 3400 lbs. and non-irrigated corn yield is 85 bu.</v>
      </c>
      <c r="C270" s="432"/>
      <c r="D270" s="432"/>
      <c r="E270" s="432"/>
      <c r="F270" s="432"/>
      <c r="G270" s="432"/>
      <c r="H270" s="432"/>
      <c r="I270" s="432"/>
      <c r="J270" s="159"/>
      <c r="K270" s="159"/>
    </row>
    <row r="271" spans="1:13" x14ac:dyDescent="0.2">
      <c r="A271" s="210" t="s">
        <v>89</v>
      </c>
      <c r="B271" s="432" t="s">
        <v>104</v>
      </c>
      <c r="C271" s="432"/>
      <c r="D271" s="432"/>
      <c r="E271" s="432"/>
      <c r="F271" s="432"/>
      <c r="G271" s="432"/>
      <c r="H271" s="432"/>
      <c r="I271" s="432"/>
      <c r="J271" s="432"/>
      <c r="K271" s="432"/>
      <c r="L271" s="432"/>
      <c r="M271" s="432"/>
    </row>
    <row r="301" spans="1:12" x14ac:dyDescent="0.2">
      <c r="A301" s="432" t="s">
        <v>93</v>
      </c>
      <c r="B301" s="432"/>
      <c r="C301" s="432"/>
      <c r="D301" s="432"/>
      <c r="E301" s="432"/>
      <c r="F301" s="432"/>
    </row>
    <row r="302" spans="1:12" x14ac:dyDescent="0.2">
      <c r="A302" s="210" t="s">
        <v>86</v>
      </c>
      <c r="B302" s="432" t="s">
        <v>99</v>
      </c>
      <c r="C302" s="432"/>
      <c r="D302" s="432"/>
      <c r="E302" s="432"/>
      <c r="F302" s="432"/>
      <c r="G302" s="432"/>
      <c r="H302" s="432"/>
      <c r="I302" s="432"/>
      <c r="J302" s="432"/>
      <c r="K302" s="432"/>
      <c r="L302" s="432"/>
    </row>
    <row r="303" spans="1:12" x14ac:dyDescent="0.2">
      <c r="A303" s="210" t="s">
        <v>87</v>
      </c>
      <c r="B303" s="432" t="str">
        <f>CONCATENATE("Irrigated soybean yield is ",Conventional!$H$7," bu. and irrigated corn yield is ",Conventional!$F$7," bu.")</f>
        <v>Irrigated soybean yield is 60 bu. and irrigated corn yield is 200 bu.</v>
      </c>
      <c r="C303" s="432"/>
      <c r="D303" s="432"/>
      <c r="E303" s="432"/>
      <c r="F303" s="432"/>
      <c r="G303" s="432"/>
      <c r="H303" s="432"/>
      <c r="I303" s="159"/>
      <c r="J303" s="159"/>
      <c r="K303" s="159"/>
    </row>
    <row r="304" spans="1:12" x14ac:dyDescent="0.2">
      <c r="A304" s="210" t="s">
        <v>88</v>
      </c>
      <c r="B304" s="432" t="str">
        <f>CONCATENATE("Non-irrigated soybean yield is ",Conventional!$R$7," bu. and non-irrigated corn yield is ",Conventional!$P$7," bu.")</f>
        <v>Non-irrigated soybean yield is 30 bu. and non-irrigated corn yield is 85 bu.</v>
      </c>
      <c r="C304" s="432"/>
      <c r="D304" s="432"/>
      <c r="E304" s="432"/>
      <c r="F304" s="432"/>
      <c r="G304" s="432"/>
      <c r="H304" s="432"/>
      <c r="I304" s="432"/>
      <c r="J304" s="159"/>
      <c r="K304" s="159"/>
    </row>
    <row r="305" spans="1:13" x14ac:dyDescent="0.2">
      <c r="A305" s="210" t="s">
        <v>89</v>
      </c>
      <c r="B305" s="432" t="s">
        <v>104</v>
      </c>
      <c r="C305" s="432"/>
      <c r="D305" s="432"/>
      <c r="E305" s="432"/>
      <c r="F305" s="432"/>
      <c r="G305" s="432"/>
      <c r="H305" s="432"/>
      <c r="I305" s="432"/>
      <c r="J305" s="432"/>
      <c r="K305" s="432"/>
      <c r="L305" s="432"/>
      <c r="M305" s="432"/>
    </row>
    <row r="334" spans="1:12" x14ac:dyDescent="0.2">
      <c r="A334" s="433" t="s">
        <v>93</v>
      </c>
      <c r="B334" s="433"/>
      <c r="C334" s="433"/>
      <c r="D334" s="433"/>
      <c r="E334" s="433"/>
      <c r="F334" s="433"/>
    </row>
    <row r="335" spans="1:12" x14ac:dyDescent="0.2">
      <c r="A335" s="210" t="s">
        <v>86</v>
      </c>
      <c r="B335" s="432" t="s">
        <v>100</v>
      </c>
      <c r="C335" s="432"/>
      <c r="D335" s="432"/>
      <c r="E335" s="432"/>
      <c r="F335" s="432"/>
      <c r="G335" s="432"/>
      <c r="H335" s="432"/>
      <c r="I335" s="432"/>
      <c r="J335" s="432"/>
      <c r="K335" s="432"/>
      <c r="L335" s="432"/>
    </row>
    <row r="336" spans="1:12" x14ac:dyDescent="0.2">
      <c r="A336" s="210" t="s">
        <v>87</v>
      </c>
      <c r="B336" s="432" t="str">
        <f>CONCATENATE("Irrigated cotton yield is ",Conventional!$B$7," lbs. and irrigated soybean yield is ",Conventional!$H$7," bu.")</f>
        <v>Irrigated cotton yield is 1200 lbs. and irrigated soybean yield is 60 bu.</v>
      </c>
      <c r="C336" s="432"/>
      <c r="D336" s="432"/>
      <c r="E336" s="432"/>
      <c r="F336" s="432"/>
      <c r="G336" s="432"/>
      <c r="H336" s="432"/>
      <c r="I336" s="159"/>
      <c r="J336" s="159"/>
      <c r="K336" s="159"/>
    </row>
    <row r="337" spans="1:13" x14ac:dyDescent="0.2">
      <c r="A337" s="210" t="s">
        <v>88</v>
      </c>
      <c r="B337" s="432" t="str">
        <f>CONCATENATE("Non-irrigated cotton yield is ",Conventional!$L$7," lbs. and non-irrigated soybean yield is ",Conventional!$R$7," bu.")</f>
        <v>Non-irrigated cotton yield is 750 lbs. and non-irrigated soybean yield is 30 bu.</v>
      </c>
      <c r="C337" s="432"/>
      <c r="D337" s="432"/>
      <c r="E337" s="432"/>
      <c r="F337" s="432"/>
      <c r="G337" s="432"/>
      <c r="H337" s="432"/>
      <c r="I337" s="432"/>
      <c r="J337" s="159"/>
      <c r="K337" s="159"/>
    </row>
    <row r="338" spans="1:13" x14ac:dyDescent="0.2">
      <c r="A338" s="210" t="s">
        <v>89</v>
      </c>
      <c r="B338" s="432" t="s">
        <v>104</v>
      </c>
      <c r="C338" s="432"/>
      <c r="D338" s="432"/>
      <c r="E338" s="432"/>
      <c r="F338" s="432"/>
      <c r="G338" s="432"/>
      <c r="H338" s="432"/>
      <c r="I338" s="432"/>
      <c r="J338" s="432"/>
      <c r="K338" s="432"/>
      <c r="L338" s="432"/>
      <c r="M338" s="432"/>
    </row>
    <row r="369" spans="1:13" x14ac:dyDescent="0.2">
      <c r="A369" s="432" t="s">
        <v>93</v>
      </c>
      <c r="B369" s="432"/>
      <c r="C369" s="432"/>
      <c r="D369" s="432"/>
      <c r="E369" s="432"/>
      <c r="F369" s="432"/>
    </row>
    <row r="370" spans="1:13" x14ac:dyDescent="0.2">
      <c r="A370" s="210" t="s">
        <v>86</v>
      </c>
      <c r="B370" s="432" t="s">
        <v>101</v>
      </c>
      <c r="C370" s="432"/>
      <c r="D370" s="432"/>
      <c r="E370" s="432"/>
      <c r="F370" s="432"/>
      <c r="G370" s="432"/>
      <c r="H370" s="432"/>
      <c r="I370" s="432"/>
      <c r="J370" s="432"/>
      <c r="K370" s="432"/>
      <c r="L370" s="432"/>
    </row>
    <row r="371" spans="1:13" x14ac:dyDescent="0.2">
      <c r="A371" s="210" t="s">
        <v>87</v>
      </c>
      <c r="B371" s="432" t="str">
        <f>CONCATENATE("Irrigated peanut yield is ",Conventional!$D$7," lbs. and irrigated soybean yield is ",Conventional!$H$7," bu.")</f>
        <v>Irrigated peanut yield is 4700 lbs. and irrigated soybean yield is 60 bu.</v>
      </c>
      <c r="C371" s="432"/>
      <c r="D371" s="432"/>
      <c r="E371" s="432"/>
      <c r="F371" s="432"/>
      <c r="G371" s="432"/>
      <c r="H371" s="432"/>
      <c r="I371" s="159"/>
      <c r="J371" s="159"/>
      <c r="K371" s="159"/>
    </row>
    <row r="372" spans="1:13" x14ac:dyDescent="0.2">
      <c r="A372" s="210" t="s">
        <v>88</v>
      </c>
      <c r="B372" s="432" t="str">
        <f>CONCATENATE("Non-irrigated peanut yield is ",Conventional!$N$7," lbs. and non-irrigated soybean yield is ",Conventional!$R$7," bu.")</f>
        <v>Non-irrigated peanut yield is 3400 lbs. and non-irrigated soybean yield is 30 bu.</v>
      </c>
      <c r="C372" s="432"/>
      <c r="D372" s="432"/>
      <c r="E372" s="432"/>
      <c r="F372" s="432"/>
      <c r="G372" s="432"/>
      <c r="H372" s="432"/>
      <c r="I372" s="432"/>
      <c r="J372" s="159"/>
      <c r="K372" s="159"/>
    </row>
    <row r="373" spans="1:13" x14ac:dyDescent="0.2">
      <c r="A373" s="210" t="s">
        <v>89</v>
      </c>
      <c r="B373" s="432" t="s">
        <v>104</v>
      </c>
      <c r="C373" s="432"/>
      <c r="D373" s="432"/>
      <c r="E373" s="432"/>
      <c r="F373" s="432"/>
      <c r="G373" s="432"/>
      <c r="H373" s="432"/>
      <c r="I373" s="432"/>
      <c r="J373" s="432"/>
      <c r="K373" s="432"/>
      <c r="L373" s="432"/>
      <c r="M373" s="432"/>
    </row>
    <row r="403" spans="1:13" x14ac:dyDescent="0.2">
      <c r="A403" s="432" t="s">
        <v>93</v>
      </c>
      <c r="B403" s="432"/>
      <c r="C403" s="432"/>
      <c r="D403" s="432"/>
      <c r="E403" s="432"/>
      <c r="F403" s="432"/>
    </row>
    <row r="404" spans="1:13" x14ac:dyDescent="0.2">
      <c r="A404" s="210" t="s">
        <v>86</v>
      </c>
      <c r="B404" s="432" t="s">
        <v>102</v>
      </c>
      <c r="C404" s="432"/>
      <c r="D404" s="432"/>
      <c r="E404" s="432"/>
      <c r="F404" s="432"/>
      <c r="G404" s="432"/>
      <c r="H404" s="432"/>
      <c r="I404" s="432"/>
      <c r="J404" s="432"/>
      <c r="K404" s="432"/>
      <c r="L404" s="432"/>
    </row>
    <row r="405" spans="1:13" x14ac:dyDescent="0.2">
      <c r="A405" s="210" t="s">
        <v>87</v>
      </c>
      <c r="B405" s="432" t="str">
        <f>CONCATENATE("Irrigated corn yield is ",Conventional!$F$7," bu. and irrigated soybean yield is ",Conventional!$H$7," bu.")</f>
        <v>Irrigated corn yield is 200 bu. and irrigated soybean yield is 60 bu.</v>
      </c>
      <c r="C405" s="432"/>
      <c r="D405" s="432"/>
      <c r="E405" s="432"/>
      <c r="F405" s="432"/>
      <c r="G405" s="432"/>
      <c r="H405" s="432"/>
      <c r="I405" s="159"/>
      <c r="J405" s="159"/>
      <c r="K405" s="159"/>
    </row>
    <row r="406" spans="1:13" x14ac:dyDescent="0.2">
      <c r="A406" s="210" t="s">
        <v>88</v>
      </c>
      <c r="B406" s="432" t="str">
        <f>CONCATENATE("Non-irrigated corn yield is ",Conventional!$P$7," bu. and non-irrigated soybean yield is ",Conventional!$R$7," bu.")</f>
        <v>Non-irrigated corn yield is 85 bu. and non-irrigated soybean yield is 30 bu.</v>
      </c>
      <c r="C406" s="432"/>
      <c r="D406" s="432"/>
      <c r="E406" s="432"/>
      <c r="F406" s="432"/>
      <c r="G406" s="432"/>
      <c r="H406" s="432"/>
      <c r="I406" s="432"/>
      <c r="J406" s="159"/>
      <c r="K406" s="159"/>
    </row>
    <row r="407" spans="1:13" x14ac:dyDescent="0.2">
      <c r="A407" s="210" t="s">
        <v>89</v>
      </c>
      <c r="B407" s="432" t="s">
        <v>104</v>
      </c>
      <c r="C407" s="432"/>
      <c r="D407" s="432"/>
      <c r="E407" s="432"/>
      <c r="F407" s="432"/>
      <c r="G407" s="432"/>
      <c r="H407" s="432"/>
      <c r="I407" s="432"/>
      <c r="J407" s="432"/>
      <c r="K407" s="432"/>
      <c r="L407" s="432"/>
      <c r="M407" s="432"/>
    </row>
  </sheetData>
  <sheetProtection sheet="1" objects="1" scenarios="1"/>
  <mergeCells count="60">
    <mergeCell ref="B101:M101"/>
    <mergeCell ref="B64:K64"/>
    <mergeCell ref="B65:H65"/>
    <mergeCell ref="B66:I66"/>
    <mergeCell ref="B67:M67"/>
    <mergeCell ref="B99:H99"/>
    <mergeCell ref="B100:I100"/>
    <mergeCell ref="A29:F29"/>
    <mergeCell ref="A63:F63"/>
    <mergeCell ref="A97:F97"/>
    <mergeCell ref="B98:L98"/>
    <mergeCell ref="B30:K30"/>
    <mergeCell ref="B31:H31"/>
    <mergeCell ref="B32:I32"/>
    <mergeCell ref="B33:M33"/>
    <mergeCell ref="B166:K166"/>
    <mergeCell ref="B167:H167"/>
    <mergeCell ref="B168:I168"/>
    <mergeCell ref="B169:M169"/>
    <mergeCell ref="A131:F131"/>
    <mergeCell ref="B132:K132"/>
    <mergeCell ref="B133:H133"/>
    <mergeCell ref="B134:I134"/>
    <mergeCell ref="A165:F165"/>
    <mergeCell ref="B135:M135"/>
    <mergeCell ref="A233:F233"/>
    <mergeCell ref="B234:K234"/>
    <mergeCell ref="B235:H235"/>
    <mergeCell ref="B236:I236"/>
    <mergeCell ref="A267:F267"/>
    <mergeCell ref="B407:M407"/>
    <mergeCell ref="B373:M373"/>
    <mergeCell ref="B338:M338"/>
    <mergeCell ref="A199:F199"/>
    <mergeCell ref="B200:L200"/>
    <mergeCell ref="B201:H201"/>
    <mergeCell ref="B202:I202"/>
    <mergeCell ref="B303:H303"/>
    <mergeCell ref="B237:M237"/>
    <mergeCell ref="B203:M203"/>
    <mergeCell ref="B405:H405"/>
    <mergeCell ref="B337:I337"/>
    <mergeCell ref="A369:F369"/>
    <mergeCell ref="B268:K268"/>
    <mergeCell ref="B269:H269"/>
    <mergeCell ref="B270:I270"/>
    <mergeCell ref="B305:M305"/>
    <mergeCell ref="B271:M271"/>
    <mergeCell ref="B406:I406"/>
    <mergeCell ref="A334:F334"/>
    <mergeCell ref="B336:H336"/>
    <mergeCell ref="A301:F301"/>
    <mergeCell ref="B302:L302"/>
    <mergeCell ref="B371:H371"/>
    <mergeCell ref="B335:L335"/>
    <mergeCell ref="B370:L370"/>
    <mergeCell ref="A403:F403"/>
    <mergeCell ref="B404:L404"/>
    <mergeCell ref="B372:I372"/>
    <mergeCell ref="B304:I304"/>
  </mergeCells>
  <phoneticPr fontId="2" type="noConversion"/>
  <printOptions horizontalCentered="1" verticalCentered="1"/>
  <pageMargins left="0.7" right="0.7" top="0.75" bottom="0.75" header="0.3" footer="0.3"/>
  <pageSetup fitToWidth="3" fitToHeight="3" orientation="landscape" r:id="rId1"/>
  <headerFooter>
    <oddHeader>&amp;LConventional Tillage Chart</oddHeader>
    <oddFooter>&amp;L&amp;G&amp;CCharts by A.R. Smith, Y Liu, and G.A. Hancock&amp;RAg and Applied Economics, 1/2026</oddFooter>
  </headerFooter>
  <rowBreaks count="11" manualBreakCount="11">
    <brk id="34" max="12" man="1"/>
    <brk id="68" max="12" man="1"/>
    <brk id="102" max="12" man="1"/>
    <brk id="136" max="12" man="1"/>
    <brk id="170" max="12" man="1"/>
    <brk id="204" max="12" man="1"/>
    <brk id="238" max="12" man="1"/>
    <brk id="272" max="12" man="1"/>
    <brk id="306" max="12" man="1"/>
    <brk id="340" max="12" man="1"/>
    <brk id="374" max="12" man="1"/>
  </rowBreaks>
  <colBreaks count="2" manualBreakCount="2">
    <brk id="13" max="216" man="1"/>
    <brk id="26" max="216"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29:M407"/>
  <sheetViews>
    <sheetView zoomScaleNormal="100" zoomScaleSheetLayoutView="100" zoomScalePageLayoutView="110" workbookViewId="0">
      <selection activeCell="G29" sqref="G29"/>
    </sheetView>
  </sheetViews>
  <sheetFormatPr baseColWidth="10" defaultColWidth="8.83203125" defaultRowHeight="14" x14ac:dyDescent="0.2"/>
  <cols>
    <col min="1" max="1" width="8.83203125" style="90"/>
    <col min="2" max="2" width="8.83203125" style="159"/>
    <col min="3" max="26" width="8.83203125" style="90"/>
    <col min="27" max="27" width="8.83203125" style="90" customWidth="1"/>
    <col min="28" max="16384" width="8.83203125" style="90"/>
  </cols>
  <sheetData>
    <row r="29" spans="1:11" x14ac:dyDescent="0.2">
      <c r="A29" s="433" t="s">
        <v>93</v>
      </c>
      <c r="B29" s="433"/>
      <c r="C29" s="433"/>
      <c r="D29" s="433"/>
      <c r="E29" s="433"/>
      <c r="F29" s="433"/>
    </row>
    <row r="30" spans="1:11" x14ac:dyDescent="0.2">
      <c r="A30" s="210" t="s">
        <v>86</v>
      </c>
      <c r="B30" s="432" t="s">
        <v>90</v>
      </c>
      <c r="C30" s="432"/>
      <c r="D30" s="432"/>
      <c r="E30" s="432"/>
      <c r="F30" s="432"/>
      <c r="G30" s="432"/>
      <c r="H30" s="432"/>
      <c r="I30" s="432"/>
      <c r="J30" s="432"/>
      <c r="K30" s="432"/>
    </row>
    <row r="31" spans="1:11" x14ac:dyDescent="0.2">
      <c r="A31" s="210" t="s">
        <v>87</v>
      </c>
      <c r="B31" s="432" t="str">
        <f>CONCATENATE("Irrigated peanut yield is ",'Strip-Till'!$D$7," lbs. and irrigated cotton yield is ",'Strip-Till'!B7," lbs.")</f>
        <v>Irrigated peanut yield is 4700 lbs. and irrigated cotton yield is 1200 lbs.</v>
      </c>
      <c r="C31" s="432"/>
      <c r="D31" s="432"/>
      <c r="E31" s="432"/>
      <c r="F31" s="432"/>
      <c r="G31" s="432"/>
      <c r="H31" s="432"/>
      <c r="I31" s="159"/>
      <c r="J31" s="159"/>
      <c r="K31" s="159"/>
    </row>
    <row r="32" spans="1:11" x14ac:dyDescent="0.2">
      <c r="A32" s="210" t="s">
        <v>88</v>
      </c>
      <c r="B32" s="432" t="str">
        <f>CONCATENATE("Non-irrigated peanut yield is ",'Strip-Till'!N7," lbs. and non-irrigated cotton yield is ",'Strip-Till'!L7," lbs.")</f>
        <v>Non-irrigated peanut yield is 3400 lbs. and non-irrigated cotton yield is 750 lbs.</v>
      </c>
      <c r="C32" s="432"/>
      <c r="D32" s="432"/>
      <c r="E32" s="432"/>
      <c r="F32" s="432"/>
      <c r="G32" s="432"/>
      <c r="H32" s="432"/>
      <c r="I32" s="432"/>
      <c r="J32" s="159"/>
      <c r="K32" s="159"/>
    </row>
    <row r="33" spans="1:13" x14ac:dyDescent="0.2">
      <c r="A33" s="210" t="s">
        <v>89</v>
      </c>
      <c r="B33" s="432" t="s">
        <v>103</v>
      </c>
      <c r="C33" s="432"/>
      <c r="D33" s="432"/>
      <c r="E33" s="432"/>
      <c r="F33" s="432"/>
      <c r="G33" s="432"/>
      <c r="H33" s="432"/>
      <c r="I33" s="432"/>
      <c r="J33" s="432"/>
      <c r="K33" s="432"/>
      <c r="L33" s="432"/>
      <c r="M33" s="432"/>
    </row>
    <row r="63" spans="1:11" x14ac:dyDescent="0.2">
      <c r="A63" s="432" t="s">
        <v>93</v>
      </c>
      <c r="B63" s="432"/>
      <c r="C63" s="432"/>
      <c r="D63" s="432"/>
      <c r="E63" s="432"/>
      <c r="F63" s="432"/>
    </row>
    <row r="64" spans="1:11" x14ac:dyDescent="0.2">
      <c r="A64" s="210" t="s">
        <v>86</v>
      </c>
      <c r="B64" s="432" t="s">
        <v>91</v>
      </c>
      <c r="C64" s="432"/>
      <c r="D64" s="432"/>
      <c r="E64" s="432"/>
      <c r="F64" s="432"/>
      <c r="G64" s="432"/>
      <c r="H64" s="432"/>
      <c r="I64" s="432"/>
      <c r="J64" s="432"/>
      <c r="K64" s="432"/>
    </row>
    <row r="65" spans="1:13" x14ac:dyDescent="0.2">
      <c r="A65" s="210" t="s">
        <v>87</v>
      </c>
      <c r="B65" s="432" t="str">
        <f>CONCATENATE("Irrigated corn yield is ",'Strip-Till'!F7," bu. and irrigated cotton yield is ",'Strip-Till'!B7," lbs.")</f>
        <v>Irrigated corn yield is 200 bu. and irrigated cotton yield is 1200 lbs.</v>
      </c>
      <c r="C65" s="432"/>
      <c r="D65" s="432"/>
      <c r="E65" s="432"/>
      <c r="F65" s="432"/>
      <c r="G65" s="432"/>
      <c r="H65" s="432"/>
      <c r="I65" s="159"/>
      <c r="J65" s="159"/>
      <c r="K65" s="159"/>
    </row>
    <row r="66" spans="1:13" x14ac:dyDescent="0.2">
      <c r="A66" s="210" t="s">
        <v>88</v>
      </c>
      <c r="B66" s="432" t="str">
        <f>CONCATENATE("Non-irrigated corn yield is ",'Strip-Till'!P7," bu. and non-irrigated cotton yield is ",'Strip-Till'!L7," lbs.")</f>
        <v>Non-irrigated corn yield is 85 bu. and non-irrigated cotton yield is 750 lbs.</v>
      </c>
      <c r="C66" s="432"/>
      <c r="D66" s="432"/>
      <c r="E66" s="432"/>
      <c r="F66" s="432"/>
      <c r="G66" s="432"/>
      <c r="H66" s="432"/>
      <c r="I66" s="432"/>
      <c r="J66" s="159"/>
      <c r="K66" s="159"/>
    </row>
    <row r="67" spans="1:13" x14ac:dyDescent="0.2">
      <c r="A67" s="210" t="s">
        <v>89</v>
      </c>
      <c r="B67" s="432" t="s">
        <v>103</v>
      </c>
      <c r="C67" s="432"/>
      <c r="D67" s="432"/>
      <c r="E67" s="432"/>
      <c r="F67" s="432"/>
      <c r="G67" s="432"/>
      <c r="H67" s="432"/>
      <c r="I67" s="432"/>
      <c r="J67" s="432"/>
      <c r="K67" s="432"/>
      <c r="L67" s="432"/>
      <c r="M67" s="432"/>
    </row>
    <row r="97" spans="1:13" x14ac:dyDescent="0.2">
      <c r="A97" s="432" t="s">
        <v>93</v>
      </c>
      <c r="B97" s="432"/>
      <c r="C97" s="432"/>
      <c r="D97" s="432"/>
      <c r="E97" s="432"/>
      <c r="F97" s="432"/>
    </row>
    <row r="98" spans="1:13" x14ac:dyDescent="0.2">
      <c r="A98" s="210" t="s">
        <v>86</v>
      </c>
      <c r="B98" s="432" t="s">
        <v>92</v>
      </c>
      <c r="C98" s="432"/>
      <c r="D98" s="432"/>
      <c r="E98" s="432"/>
      <c r="F98" s="432"/>
      <c r="G98" s="432"/>
      <c r="H98" s="432"/>
      <c r="I98" s="432"/>
      <c r="J98" s="432"/>
      <c r="K98" s="432"/>
      <c r="L98" s="432"/>
    </row>
    <row r="99" spans="1:13" x14ac:dyDescent="0.2">
      <c r="A99" s="210" t="s">
        <v>87</v>
      </c>
      <c r="B99" s="432" t="str">
        <f>CONCATENATE("Irrigated soybean yield is ",'Strip-Till'!H7," bu. and irrigated cotton yield is ",'Strip-Till'!B7," lbs.")</f>
        <v>Irrigated soybean yield is 60 bu. and irrigated cotton yield is 1200 lbs.</v>
      </c>
      <c r="C99" s="432"/>
      <c r="D99" s="432"/>
      <c r="E99" s="432"/>
      <c r="F99" s="432"/>
      <c r="G99" s="432"/>
      <c r="H99" s="432"/>
      <c r="I99" s="159"/>
      <c r="J99" s="159"/>
      <c r="K99" s="159"/>
    </row>
    <row r="100" spans="1:13" x14ac:dyDescent="0.2">
      <c r="A100" s="210" t="s">
        <v>88</v>
      </c>
      <c r="B100" s="432" t="str">
        <f>CONCATENATE("Non-irrigated soybean yield is ",'Strip-Till'!R7," bu. and non-irrigated cotton yield is ",'Strip-Till'!L7," lbs.")</f>
        <v>Non-irrigated soybean yield is 30 bu. and non-irrigated cotton yield is 750 lbs.</v>
      </c>
      <c r="C100" s="432"/>
      <c r="D100" s="432"/>
      <c r="E100" s="432"/>
      <c r="F100" s="432"/>
      <c r="G100" s="432"/>
      <c r="H100" s="432"/>
      <c r="I100" s="432"/>
      <c r="J100" s="159"/>
      <c r="K100" s="159"/>
    </row>
    <row r="101" spans="1:13" x14ac:dyDescent="0.2">
      <c r="A101" s="210" t="s">
        <v>89</v>
      </c>
      <c r="B101" s="432" t="s">
        <v>103</v>
      </c>
      <c r="C101" s="432"/>
      <c r="D101" s="432"/>
      <c r="E101" s="432"/>
      <c r="F101" s="432"/>
      <c r="G101" s="432"/>
      <c r="H101" s="432"/>
      <c r="I101" s="432"/>
      <c r="J101" s="432"/>
      <c r="K101" s="432"/>
      <c r="L101" s="432"/>
      <c r="M101" s="432"/>
    </row>
    <row r="131" spans="1:13" x14ac:dyDescent="0.2">
      <c r="A131" s="433" t="s">
        <v>93</v>
      </c>
      <c r="B131" s="433"/>
      <c r="C131" s="433"/>
      <c r="D131" s="433"/>
      <c r="E131" s="433"/>
      <c r="F131" s="433"/>
    </row>
    <row r="132" spans="1:13" x14ac:dyDescent="0.2">
      <c r="A132" s="210" t="s">
        <v>86</v>
      </c>
      <c r="B132" s="432" t="s">
        <v>94</v>
      </c>
      <c r="C132" s="432"/>
      <c r="D132" s="432"/>
      <c r="E132" s="432"/>
      <c r="F132" s="432"/>
      <c r="G132" s="432"/>
      <c r="H132" s="432"/>
      <c r="I132" s="432"/>
      <c r="J132" s="432"/>
      <c r="K132" s="432"/>
    </row>
    <row r="133" spans="1:13" x14ac:dyDescent="0.2">
      <c r="A133" s="210" t="s">
        <v>87</v>
      </c>
      <c r="B133" s="432" t="str">
        <f>CONCATENATE("Irrigated cotton yield is ",'Strip-Till'!B7," lbs. and irrigated peanut yield is ",'Strip-Till'!D7," lbs.")</f>
        <v>Irrigated cotton yield is 1200 lbs. and irrigated peanut yield is 4700 lbs.</v>
      </c>
      <c r="C133" s="432"/>
      <c r="D133" s="432"/>
      <c r="E133" s="432"/>
      <c r="F133" s="432"/>
      <c r="G133" s="432"/>
      <c r="H133" s="432"/>
      <c r="I133" s="159"/>
      <c r="J133" s="159"/>
      <c r="K133" s="159"/>
    </row>
    <row r="134" spans="1:13" x14ac:dyDescent="0.2">
      <c r="A134" s="210" t="s">
        <v>88</v>
      </c>
      <c r="B134" s="432" t="str">
        <f>CONCATENATE("Non-irrigated cotton yield is ",'Strip-Till'!L7," lbs. and non-irrigated peanut yield is ",'Strip-Till'!N7," lbs.")</f>
        <v>Non-irrigated cotton yield is 750 lbs. and non-irrigated peanut yield is 3400 lbs.</v>
      </c>
      <c r="C134" s="432"/>
      <c r="D134" s="432"/>
      <c r="E134" s="432"/>
      <c r="F134" s="432"/>
      <c r="G134" s="432"/>
      <c r="H134" s="432"/>
      <c r="I134" s="432"/>
      <c r="J134" s="159"/>
      <c r="K134" s="159"/>
    </row>
    <row r="135" spans="1:13" x14ac:dyDescent="0.2">
      <c r="A135" s="210" t="s">
        <v>89</v>
      </c>
      <c r="B135" s="432" t="s">
        <v>103</v>
      </c>
      <c r="C135" s="432"/>
      <c r="D135" s="432"/>
      <c r="E135" s="432"/>
      <c r="F135" s="432"/>
      <c r="G135" s="432"/>
      <c r="H135" s="432"/>
      <c r="I135" s="432"/>
      <c r="J135" s="432"/>
      <c r="K135" s="432"/>
      <c r="L135" s="432"/>
      <c r="M135" s="432"/>
    </row>
    <row r="165" spans="1:13" x14ac:dyDescent="0.2">
      <c r="A165" s="432" t="s">
        <v>93</v>
      </c>
      <c r="B165" s="432"/>
      <c r="C165" s="432"/>
      <c r="D165" s="432"/>
      <c r="E165" s="432"/>
      <c r="F165" s="432"/>
    </row>
    <row r="166" spans="1:13" x14ac:dyDescent="0.2">
      <c r="A166" s="210" t="s">
        <v>86</v>
      </c>
      <c r="B166" s="432" t="s">
        <v>95</v>
      </c>
      <c r="C166" s="432"/>
      <c r="D166" s="432"/>
      <c r="E166" s="432"/>
      <c r="F166" s="432"/>
      <c r="G166" s="432"/>
      <c r="H166" s="432"/>
      <c r="I166" s="432"/>
      <c r="J166" s="432"/>
      <c r="K166" s="432"/>
    </row>
    <row r="167" spans="1:13" x14ac:dyDescent="0.2">
      <c r="A167" s="210" t="s">
        <v>87</v>
      </c>
      <c r="B167" s="432" t="str">
        <f>CONCATENATE("Irrigated corn yield is ",'Strip-Till'!$F$7," bu. and irrigated peanut yield is ",'Strip-Till'!$D$7," lbs.")</f>
        <v>Irrigated corn yield is 200 bu. and irrigated peanut yield is 4700 lbs.</v>
      </c>
      <c r="C167" s="432"/>
      <c r="D167" s="432"/>
      <c r="E167" s="432"/>
      <c r="F167" s="432"/>
      <c r="G167" s="432"/>
      <c r="H167" s="432"/>
      <c r="I167" s="159"/>
      <c r="J167" s="159"/>
      <c r="K167" s="159"/>
    </row>
    <row r="168" spans="1:13" x14ac:dyDescent="0.2">
      <c r="A168" s="210" t="s">
        <v>88</v>
      </c>
      <c r="B168" s="432" t="str">
        <f>CONCATENATE("Non-irrigated corn yield is ",'Strip-Till'!$P$7," bu. and non-irrigated peanut yield is ",'Strip-Till'!N7," lbs.")</f>
        <v>Non-irrigated corn yield is 85 bu. and non-irrigated peanut yield is 3400 lbs.</v>
      </c>
      <c r="C168" s="432"/>
      <c r="D168" s="432"/>
      <c r="E168" s="432"/>
      <c r="F168" s="432"/>
      <c r="G168" s="432"/>
      <c r="H168" s="432"/>
      <c r="I168" s="432"/>
      <c r="J168" s="159"/>
      <c r="K168" s="159"/>
    </row>
    <row r="169" spans="1:13" x14ac:dyDescent="0.2">
      <c r="A169" s="210" t="s">
        <v>89</v>
      </c>
      <c r="B169" s="432" t="s">
        <v>103</v>
      </c>
      <c r="C169" s="432"/>
      <c r="D169" s="432"/>
      <c r="E169" s="432"/>
      <c r="F169" s="432"/>
      <c r="G169" s="432"/>
      <c r="H169" s="432"/>
      <c r="I169" s="432"/>
      <c r="J169" s="432"/>
      <c r="K169" s="432"/>
      <c r="L169" s="432"/>
      <c r="M169" s="432"/>
    </row>
    <row r="199" spans="1:13" x14ac:dyDescent="0.2">
      <c r="A199" s="432" t="s">
        <v>93</v>
      </c>
      <c r="B199" s="432"/>
      <c r="C199" s="432"/>
      <c r="D199" s="432"/>
      <c r="E199" s="432"/>
      <c r="F199" s="432"/>
    </row>
    <row r="200" spans="1:13" x14ac:dyDescent="0.2">
      <c r="A200" s="210" t="s">
        <v>86</v>
      </c>
      <c r="B200" s="432" t="s">
        <v>96</v>
      </c>
      <c r="C200" s="432"/>
      <c r="D200" s="432"/>
      <c r="E200" s="432"/>
      <c r="F200" s="432"/>
      <c r="G200" s="432"/>
      <c r="H200" s="432"/>
      <c r="I200" s="432"/>
      <c r="J200" s="432"/>
      <c r="K200" s="432"/>
      <c r="L200" s="432"/>
    </row>
    <row r="201" spans="1:13" x14ac:dyDescent="0.2">
      <c r="A201" s="210" t="s">
        <v>87</v>
      </c>
      <c r="B201" s="432" t="str">
        <f>CONCATENATE("Irrigated soybean yield is ",'Strip-Till'!$H$7," bu. and irrigated peanut yield is ",'Strip-Till'!$D$7," lbs.")</f>
        <v>Irrigated soybean yield is 60 bu. and irrigated peanut yield is 4700 lbs.</v>
      </c>
      <c r="C201" s="432"/>
      <c r="D201" s="432"/>
      <c r="E201" s="432"/>
      <c r="F201" s="432"/>
      <c r="G201" s="432"/>
      <c r="H201" s="432"/>
      <c r="I201" s="159"/>
      <c r="J201" s="159"/>
      <c r="K201" s="159"/>
    </row>
    <row r="202" spans="1:13" x14ac:dyDescent="0.2">
      <c r="A202" s="210" t="s">
        <v>88</v>
      </c>
      <c r="B202" s="432" t="str">
        <f>CONCATENATE("Non-irrigated soybean yield is ",'Strip-Till'!$R$7," bu. and non-irrigated peanut yield is ",'Strip-Till'!$N$7," lbs.")</f>
        <v>Non-irrigated soybean yield is 30 bu. and non-irrigated peanut yield is 3400 lbs.</v>
      </c>
      <c r="C202" s="432"/>
      <c r="D202" s="432"/>
      <c r="E202" s="432"/>
      <c r="F202" s="432"/>
      <c r="G202" s="432"/>
      <c r="H202" s="432"/>
      <c r="I202" s="432"/>
      <c r="J202" s="159"/>
      <c r="K202" s="159"/>
    </row>
    <row r="203" spans="1:13" x14ac:dyDescent="0.2">
      <c r="A203" s="210" t="s">
        <v>89</v>
      </c>
      <c r="B203" s="432" t="s">
        <v>103</v>
      </c>
      <c r="C203" s="432"/>
      <c r="D203" s="432"/>
      <c r="E203" s="432"/>
      <c r="F203" s="432"/>
      <c r="G203" s="432"/>
      <c r="H203" s="432"/>
      <c r="I203" s="432"/>
      <c r="J203" s="432"/>
      <c r="K203" s="432"/>
      <c r="L203" s="432"/>
      <c r="M203" s="432"/>
    </row>
    <row r="233" spans="1:13" x14ac:dyDescent="0.2">
      <c r="A233" s="433" t="s">
        <v>93</v>
      </c>
      <c r="B233" s="433"/>
      <c r="C233" s="433"/>
      <c r="D233" s="433"/>
      <c r="E233" s="433"/>
      <c r="F233" s="433"/>
    </row>
    <row r="234" spans="1:13" x14ac:dyDescent="0.2">
      <c r="A234" s="210" t="s">
        <v>86</v>
      </c>
      <c r="B234" s="432" t="s">
        <v>97</v>
      </c>
      <c r="C234" s="432"/>
      <c r="D234" s="432"/>
      <c r="E234" s="432"/>
      <c r="F234" s="432"/>
      <c r="G234" s="432"/>
      <c r="H234" s="432"/>
      <c r="I234" s="432"/>
      <c r="J234" s="432"/>
      <c r="K234" s="432"/>
    </row>
    <row r="235" spans="1:13" x14ac:dyDescent="0.2">
      <c r="A235" s="210" t="s">
        <v>87</v>
      </c>
      <c r="B235" s="432" t="str">
        <f>CONCATENATE("Irrigated cotton yield is ",'Strip-Till'!$B$7," lbs. and irrigated corn yield is ",'Strip-Till'!$F$7," bu.")</f>
        <v>Irrigated cotton yield is 1200 lbs. and irrigated corn yield is 200 bu.</v>
      </c>
      <c r="C235" s="432"/>
      <c r="D235" s="432"/>
      <c r="E235" s="432"/>
      <c r="F235" s="432"/>
      <c r="G235" s="432"/>
      <c r="H235" s="432"/>
      <c r="I235" s="159"/>
      <c r="J235" s="159"/>
      <c r="K235" s="159"/>
    </row>
    <row r="236" spans="1:13" x14ac:dyDescent="0.2">
      <c r="A236" s="210" t="s">
        <v>88</v>
      </c>
      <c r="B236" s="432" t="str">
        <f>CONCATENATE("Non-irrigated cotton yield is ",'Strip-Till'!$L$7," lbs. and non-irrigated corn yield is ",'Strip-Till'!$P$7," bu.")</f>
        <v>Non-irrigated cotton yield is 750 lbs. and non-irrigated corn yield is 85 bu.</v>
      </c>
      <c r="C236" s="432"/>
      <c r="D236" s="432"/>
      <c r="E236" s="432"/>
      <c r="F236" s="432"/>
      <c r="G236" s="432"/>
      <c r="H236" s="432"/>
      <c r="I236" s="432"/>
      <c r="J236" s="159"/>
      <c r="K236" s="159"/>
    </row>
    <row r="237" spans="1:13" x14ac:dyDescent="0.2">
      <c r="A237" s="210" t="s">
        <v>89</v>
      </c>
      <c r="B237" s="432" t="s">
        <v>103</v>
      </c>
      <c r="C237" s="432"/>
      <c r="D237" s="432"/>
      <c r="E237" s="432"/>
      <c r="F237" s="432"/>
      <c r="G237" s="432"/>
      <c r="H237" s="432"/>
      <c r="I237" s="432"/>
      <c r="J237" s="432"/>
      <c r="K237" s="432"/>
      <c r="L237" s="432"/>
      <c r="M237" s="432"/>
    </row>
    <row r="267" spans="1:13" x14ac:dyDescent="0.2">
      <c r="A267" s="432" t="s">
        <v>93</v>
      </c>
      <c r="B267" s="432"/>
      <c r="C267" s="432"/>
      <c r="D267" s="432"/>
      <c r="E267" s="432"/>
      <c r="F267" s="432"/>
    </row>
    <row r="268" spans="1:13" x14ac:dyDescent="0.2">
      <c r="A268" s="210" t="s">
        <v>86</v>
      </c>
      <c r="B268" s="432" t="s">
        <v>98</v>
      </c>
      <c r="C268" s="432"/>
      <c r="D268" s="432"/>
      <c r="E268" s="432"/>
      <c r="F268" s="432"/>
      <c r="G268" s="432"/>
      <c r="H268" s="432"/>
      <c r="I268" s="432"/>
      <c r="J268" s="432"/>
      <c r="K268" s="432"/>
    </row>
    <row r="269" spans="1:13" x14ac:dyDescent="0.2">
      <c r="A269" s="210" t="s">
        <v>87</v>
      </c>
      <c r="B269" s="432" t="str">
        <f>CONCATENATE("Irrigated peanut yield is ",'Strip-Till'!$D$7," lbs. and irrigated corn yield is ",'Strip-Till'!$F$7," bu.")</f>
        <v>Irrigated peanut yield is 4700 lbs. and irrigated corn yield is 200 bu.</v>
      </c>
      <c r="C269" s="432"/>
      <c r="D269" s="432"/>
      <c r="E269" s="432"/>
      <c r="F269" s="432"/>
      <c r="G269" s="432"/>
      <c r="H269" s="432"/>
      <c r="I269" s="159"/>
      <c r="J269" s="159"/>
      <c r="K269" s="159"/>
    </row>
    <row r="270" spans="1:13" x14ac:dyDescent="0.2">
      <c r="A270" s="210" t="s">
        <v>88</v>
      </c>
      <c r="B270" s="432" t="str">
        <f>CONCATENATE("Non-irrigated peanut yield is ",'Strip-Till'!$N$7," lbs. and non-irrigated corn yield is ",'Strip-Till'!$P$7," bu.")</f>
        <v>Non-irrigated peanut yield is 3400 lbs. and non-irrigated corn yield is 85 bu.</v>
      </c>
      <c r="C270" s="432"/>
      <c r="D270" s="432"/>
      <c r="E270" s="432"/>
      <c r="F270" s="432"/>
      <c r="G270" s="432"/>
      <c r="H270" s="432"/>
      <c r="I270" s="432"/>
      <c r="J270" s="159"/>
      <c r="K270" s="159"/>
    </row>
    <row r="271" spans="1:13" x14ac:dyDescent="0.2">
      <c r="A271" s="210" t="s">
        <v>89</v>
      </c>
      <c r="B271" s="432" t="s">
        <v>103</v>
      </c>
      <c r="C271" s="432"/>
      <c r="D271" s="432"/>
      <c r="E271" s="432"/>
      <c r="F271" s="432"/>
      <c r="G271" s="432"/>
      <c r="H271" s="432"/>
      <c r="I271" s="432"/>
      <c r="J271" s="432"/>
      <c r="K271" s="432"/>
      <c r="L271" s="432"/>
      <c r="M271" s="432"/>
    </row>
    <row r="301" spans="1:12" x14ac:dyDescent="0.2">
      <c r="A301" s="432" t="s">
        <v>93</v>
      </c>
      <c r="B301" s="432"/>
      <c r="C301" s="432"/>
      <c r="D301" s="432"/>
      <c r="E301" s="432"/>
      <c r="F301" s="432"/>
    </row>
    <row r="302" spans="1:12" x14ac:dyDescent="0.2">
      <c r="A302" s="210" t="s">
        <v>86</v>
      </c>
      <c r="B302" s="432" t="s">
        <v>99</v>
      </c>
      <c r="C302" s="432"/>
      <c r="D302" s="432"/>
      <c r="E302" s="432"/>
      <c r="F302" s="432"/>
      <c r="G302" s="432"/>
      <c r="H302" s="432"/>
      <c r="I302" s="432"/>
      <c r="J302" s="432"/>
      <c r="K302" s="432"/>
      <c r="L302" s="432"/>
    </row>
    <row r="303" spans="1:12" x14ac:dyDescent="0.2">
      <c r="A303" s="210" t="s">
        <v>87</v>
      </c>
      <c r="B303" s="432" t="str">
        <f>CONCATENATE("Irrigated soybean yield is ",'Strip-Till'!$H$7," bu. and irrigated corn yield is ",'Strip-Till'!$F$7," bu.")</f>
        <v>Irrigated soybean yield is 60 bu. and irrigated corn yield is 200 bu.</v>
      </c>
      <c r="C303" s="432"/>
      <c r="D303" s="432"/>
      <c r="E303" s="432"/>
      <c r="F303" s="432"/>
      <c r="G303" s="432"/>
      <c r="H303" s="432"/>
      <c r="I303" s="159"/>
      <c r="J303" s="159"/>
      <c r="K303" s="159"/>
    </row>
    <row r="304" spans="1:12" x14ac:dyDescent="0.2">
      <c r="A304" s="210" t="s">
        <v>88</v>
      </c>
      <c r="B304" s="432" t="str">
        <f>CONCATENATE("Non-irrigated soybean yield is ",'Strip-Till'!$R$7," bu. and non-irrigated corn yield is ",'Strip-Till'!$P$7," bu.")</f>
        <v>Non-irrigated soybean yield is 30 bu. and non-irrigated corn yield is 85 bu.</v>
      </c>
      <c r="C304" s="432"/>
      <c r="D304" s="432"/>
      <c r="E304" s="432"/>
      <c r="F304" s="432"/>
      <c r="G304" s="432"/>
      <c r="H304" s="432"/>
      <c r="I304" s="432"/>
      <c r="J304" s="159"/>
      <c r="K304" s="159"/>
    </row>
    <row r="305" spans="1:13" x14ac:dyDescent="0.2">
      <c r="A305" s="210" t="s">
        <v>89</v>
      </c>
      <c r="B305" s="432" t="s">
        <v>103</v>
      </c>
      <c r="C305" s="432"/>
      <c r="D305" s="432"/>
      <c r="E305" s="432"/>
      <c r="F305" s="432"/>
      <c r="G305" s="432"/>
      <c r="H305" s="432"/>
      <c r="I305" s="432"/>
      <c r="J305" s="432"/>
      <c r="K305" s="432"/>
      <c r="L305" s="432"/>
      <c r="M305" s="432"/>
    </row>
    <row r="334" spans="1:12" x14ac:dyDescent="0.2">
      <c r="A334" s="433" t="s">
        <v>93</v>
      </c>
      <c r="B334" s="433"/>
      <c r="C334" s="433"/>
      <c r="D334" s="433"/>
      <c r="E334" s="433"/>
      <c r="F334" s="433"/>
    </row>
    <row r="335" spans="1:12" x14ac:dyDescent="0.2">
      <c r="A335" s="210" t="s">
        <v>86</v>
      </c>
      <c r="B335" s="432" t="s">
        <v>100</v>
      </c>
      <c r="C335" s="432"/>
      <c r="D335" s="432"/>
      <c r="E335" s="432"/>
      <c r="F335" s="432"/>
      <c r="G335" s="432"/>
      <c r="H335" s="432"/>
      <c r="I335" s="432"/>
      <c r="J335" s="432"/>
      <c r="K335" s="432"/>
      <c r="L335" s="432"/>
    </row>
    <row r="336" spans="1:12" x14ac:dyDescent="0.2">
      <c r="A336" s="210" t="s">
        <v>87</v>
      </c>
      <c r="B336" s="432" t="str">
        <f>CONCATENATE("Irrigated cotton yield is ",'Strip-Till'!$B$7," lbs. and irrigated soybean yield is ",'Strip-Till'!$H$7," bu.")</f>
        <v>Irrigated cotton yield is 1200 lbs. and irrigated soybean yield is 60 bu.</v>
      </c>
      <c r="C336" s="432"/>
      <c r="D336" s="432"/>
      <c r="E336" s="432"/>
      <c r="F336" s="432"/>
      <c r="G336" s="432"/>
      <c r="H336" s="432"/>
      <c r="I336" s="159"/>
      <c r="J336" s="159"/>
      <c r="K336" s="159"/>
    </row>
    <row r="337" spans="1:13" x14ac:dyDescent="0.2">
      <c r="A337" s="210" t="s">
        <v>88</v>
      </c>
      <c r="B337" s="432" t="str">
        <f>CONCATENATE("Non-irrigated cotton yield is ",'Strip-Till'!$L$7," lbs. and non-irrigated soybean yield is ",'Strip-Till'!$R$7," bu.")</f>
        <v>Non-irrigated cotton yield is 750 lbs. and non-irrigated soybean yield is 30 bu.</v>
      </c>
      <c r="C337" s="432"/>
      <c r="D337" s="432"/>
      <c r="E337" s="432"/>
      <c r="F337" s="432"/>
      <c r="G337" s="432"/>
      <c r="H337" s="432"/>
      <c r="I337" s="432"/>
      <c r="J337" s="159"/>
      <c r="K337" s="159"/>
    </row>
    <row r="338" spans="1:13" x14ac:dyDescent="0.2">
      <c r="A338" s="210" t="s">
        <v>89</v>
      </c>
      <c r="B338" s="432" t="s">
        <v>103</v>
      </c>
      <c r="C338" s="432"/>
      <c r="D338" s="432"/>
      <c r="E338" s="432"/>
      <c r="F338" s="432"/>
      <c r="G338" s="432"/>
      <c r="H338" s="432"/>
      <c r="I338" s="432"/>
      <c r="J338" s="432"/>
      <c r="K338" s="432"/>
      <c r="L338" s="432"/>
      <c r="M338" s="432"/>
    </row>
    <row r="369" spans="1:13" x14ac:dyDescent="0.2">
      <c r="A369" s="432" t="s">
        <v>93</v>
      </c>
      <c r="B369" s="432"/>
      <c r="C369" s="432"/>
      <c r="D369" s="432"/>
      <c r="E369" s="432"/>
      <c r="F369" s="432"/>
    </row>
    <row r="370" spans="1:13" x14ac:dyDescent="0.2">
      <c r="A370" s="210" t="s">
        <v>86</v>
      </c>
      <c r="B370" s="432" t="s">
        <v>101</v>
      </c>
      <c r="C370" s="432"/>
      <c r="D370" s="432"/>
      <c r="E370" s="432"/>
      <c r="F370" s="432"/>
      <c r="G370" s="432"/>
      <c r="H370" s="432"/>
      <c r="I370" s="432"/>
      <c r="J370" s="432"/>
      <c r="K370" s="432"/>
      <c r="L370" s="432"/>
    </row>
    <row r="371" spans="1:13" x14ac:dyDescent="0.2">
      <c r="A371" s="210" t="s">
        <v>87</v>
      </c>
      <c r="B371" s="432" t="str">
        <f>CONCATENATE("Irrigated peanut yield is ",'Strip-Till'!$D$7," lbs. and irrigated soybean yield is ",'Strip-Till'!$H$7," bu.")</f>
        <v>Irrigated peanut yield is 4700 lbs. and irrigated soybean yield is 60 bu.</v>
      </c>
      <c r="C371" s="432"/>
      <c r="D371" s="432"/>
      <c r="E371" s="432"/>
      <c r="F371" s="432"/>
      <c r="G371" s="432"/>
      <c r="H371" s="432"/>
      <c r="I371" s="159"/>
      <c r="J371" s="159"/>
      <c r="K371" s="159"/>
    </row>
    <row r="372" spans="1:13" x14ac:dyDescent="0.2">
      <c r="A372" s="210" t="s">
        <v>88</v>
      </c>
      <c r="B372" s="432" t="str">
        <f>CONCATENATE("Non-irrigated peanut yield is ",'Strip-Till'!$N$7," lbs. and non-irrigated soybean yield is ",'Strip-Till'!$R$7," bu.")</f>
        <v>Non-irrigated peanut yield is 3400 lbs. and non-irrigated soybean yield is 30 bu.</v>
      </c>
      <c r="C372" s="432"/>
      <c r="D372" s="432"/>
      <c r="E372" s="432"/>
      <c r="F372" s="432"/>
      <c r="G372" s="432"/>
      <c r="H372" s="432"/>
      <c r="I372" s="432"/>
      <c r="J372" s="159"/>
      <c r="K372" s="159"/>
    </row>
    <row r="373" spans="1:13" x14ac:dyDescent="0.2">
      <c r="A373" s="210" t="s">
        <v>89</v>
      </c>
      <c r="B373" s="432" t="s">
        <v>103</v>
      </c>
      <c r="C373" s="432"/>
      <c r="D373" s="432"/>
      <c r="E373" s="432"/>
      <c r="F373" s="432"/>
      <c r="G373" s="432"/>
      <c r="H373" s="432"/>
      <c r="I373" s="432"/>
      <c r="J373" s="432"/>
      <c r="K373" s="432"/>
      <c r="L373" s="432"/>
      <c r="M373" s="432"/>
    </row>
    <row r="403" spans="1:13" x14ac:dyDescent="0.2">
      <c r="A403" s="432" t="s">
        <v>93</v>
      </c>
      <c r="B403" s="432"/>
      <c r="C403" s="432"/>
      <c r="D403" s="432"/>
      <c r="E403" s="432"/>
      <c r="F403" s="432"/>
    </row>
    <row r="404" spans="1:13" x14ac:dyDescent="0.2">
      <c r="A404" s="210" t="s">
        <v>86</v>
      </c>
      <c r="B404" s="432" t="s">
        <v>102</v>
      </c>
      <c r="C404" s="432"/>
      <c r="D404" s="432"/>
      <c r="E404" s="432"/>
      <c r="F404" s="432"/>
      <c r="G404" s="432"/>
      <c r="H404" s="432"/>
      <c r="I404" s="432"/>
      <c r="J404" s="432"/>
      <c r="K404" s="432"/>
      <c r="L404" s="432"/>
    </row>
    <row r="405" spans="1:13" x14ac:dyDescent="0.2">
      <c r="A405" s="210" t="s">
        <v>87</v>
      </c>
      <c r="B405" s="432" t="str">
        <f>CONCATENATE("Irrigated corn yield is ",'Strip-Till'!$F$7," bu. and irrigated soybean yield is ",'Strip-Till'!$H$7," bu.")</f>
        <v>Irrigated corn yield is 200 bu. and irrigated soybean yield is 60 bu.</v>
      </c>
      <c r="C405" s="432"/>
      <c r="D405" s="432"/>
      <c r="E405" s="432"/>
      <c r="F405" s="432"/>
      <c r="G405" s="432"/>
      <c r="H405" s="432"/>
      <c r="I405" s="159"/>
      <c r="J405" s="159"/>
      <c r="K405" s="159"/>
    </row>
    <row r="406" spans="1:13" x14ac:dyDescent="0.2">
      <c r="A406" s="210" t="s">
        <v>88</v>
      </c>
      <c r="B406" s="432" t="str">
        <f>CONCATENATE("Non-irrigated corn yield is ",'Strip-Till'!$P$7," bu. and non-irrigated soybean yield is ",'Strip-Till'!$R$7," bu.")</f>
        <v>Non-irrigated corn yield is 85 bu. and non-irrigated soybean yield is 30 bu.</v>
      </c>
      <c r="C406" s="432"/>
      <c r="D406" s="432"/>
      <c r="E406" s="432"/>
      <c r="F406" s="432"/>
      <c r="G406" s="432"/>
      <c r="H406" s="432"/>
      <c r="I406" s="432"/>
      <c r="J406" s="159"/>
      <c r="K406" s="159"/>
    </row>
    <row r="407" spans="1:13" x14ac:dyDescent="0.2">
      <c r="A407" s="210" t="s">
        <v>89</v>
      </c>
      <c r="B407" s="432" t="s">
        <v>103</v>
      </c>
      <c r="C407" s="432"/>
      <c r="D407" s="432"/>
      <c r="E407" s="432"/>
      <c r="F407" s="432"/>
      <c r="G407" s="432"/>
      <c r="H407" s="432"/>
      <c r="I407" s="432"/>
      <c r="J407" s="432"/>
      <c r="K407" s="432"/>
      <c r="L407" s="432"/>
      <c r="M407" s="432"/>
    </row>
  </sheetData>
  <sheetProtection sheet="1" objects="1" scenarios="1"/>
  <mergeCells count="60">
    <mergeCell ref="A29:F29"/>
    <mergeCell ref="B30:K30"/>
    <mergeCell ref="B31:H31"/>
    <mergeCell ref="B32:I32"/>
    <mergeCell ref="A63:F63"/>
    <mergeCell ref="B33:M33"/>
    <mergeCell ref="B64:K64"/>
    <mergeCell ref="B65:H65"/>
    <mergeCell ref="B66:I66"/>
    <mergeCell ref="A97:F97"/>
    <mergeCell ref="B98:L98"/>
    <mergeCell ref="B67:M67"/>
    <mergeCell ref="B99:H99"/>
    <mergeCell ref="B100:I100"/>
    <mergeCell ref="A131:F131"/>
    <mergeCell ref="B132:K132"/>
    <mergeCell ref="B133:H133"/>
    <mergeCell ref="B101:M101"/>
    <mergeCell ref="B134:I134"/>
    <mergeCell ref="A165:F165"/>
    <mergeCell ref="B166:K166"/>
    <mergeCell ref="B167:H167"/>
    <mergeCell ref="B168:I168"/>
    <mergeCell ref="B135:M135"/>
    <mergeCell ref="B169:M169"/>
    <mergeCell ref="A233:F233"/>
    <mergeCell ref="B234:K234"/>
    <mergeCell ref="B235:H235"/>
    <mergeCell ref="B236:I236"/>
    <mergeCell ref="A199:F199"/>
    <mergeCell ref="B200:L200"/>
    <mergeCell ref="B201:H201"/>
    <mergeCell ref="B202:I202"/>
    <mergeCell ref="B203:M203"/>
    <mergeCell ref="A267:F267"/>
    <mergeCell ref="B237:M237"/>
    <mergeCell ref="B268:K268"/>
    <mergeCell ref="B269:H269"/>
    <mergeCell ref="B270:I270"/>
    <mergeCell ref="B302:L302"/>
    <mergeCell ref="B271:M271"/>
    <mergeCell ref="B303:H303"/>
    <mergeCell ref="B304:I304"/>
    <mergeCell ref="B338:M338"/>
    <mergeCell ref="A334:F334"/>
    <mergeCell ref="B335:L335"/>
    <mergeCell ref="B336:H336"/>
    <mergeCell ref="B305:M305"/>
    <mergeCell ref="B337:I337"/>
    <mergeCell ref="A301:F301"/>
    <mergeCell ref="B407:M407"/>
    <mergeCell ref="A369:F369"/>
    <mergeCell ref="B370:L370"/>
    <mergeCell ref="B371:H371"/>
    <mergeCell ref="B372:I372"/>
    <mergeCell ref="B373:M373"/>
    <mergeCell ref="A403:F403"/>
    <mergeCell ref="B404:L404"/>
    <mergeCell ref="B405:H405"/>
    <mergeCell ref="B406:I406"/>
  </mergeCells>
  <phoneticPr fontId="2" type="noConversion"/>
  <printOptions horizontalCentered="1" verticalCentered="1"/>
  <pageMargins left="0.7" right="0.7" top="0.75" bottom="0.75" header="0.3" footer="0.3"/>
  <pageSetup fitToWidth="3" fitToHeight="3" orientation="landscape" r:id="rId1"/>
  <headerFooter>
    <oddHeader>&amp;LStrip Tillage Chart</oddHeader>
    <oddFooter xml:space="preserve">&amp;L&amp;G&amp;CCharts by A.R. Smith, Y. Liu and G.A. Hancock&amp;RAg and Applied Economics,1/2026
</oddFooter>
  </headerFooter>
  <rowBreaks count="11" manualBreakCount="11">
    <brk id="34" max="12" man="1"/>
    <brk id="68" max="12" man="1"/>
    <brk id="102" max="12" man="1"/>
    <brk id="136" max="12" man="1"/>
    <brk id="170" max="12" man="1"/>
    <brk id="204" max="12" man="1"/>
    <brk id="238" max="12" man="1"/>
    <brk id="272" max="12" man="1"/>
    <brk id="306" max="12" man="1"/>
    <brk id="340" max="12" man="1"/>
    <brk id="374" max="12" man="1"/>
  </rowBreaks>
  <colBreaks count="2" manualBreakCount="2">
    <brk id="13" max="216" man="1"/>
    <brk id="26" max="216"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M59"/>
  <sheetViews>
    <sheetView topLeftCell="A7" workbookViewId="0">
      <selection sqref="A1:I1"/>
    </sheetView>
  </sheetViews>
  <sheetFormatPr baseColWidth="10" defaultColWidth="9.33203125" defaultRowHeight="13" x14ac:dyDescent="0.15"/>
  <cols>
    <col min="1" max="8" width="9.33203125" style="66" customWidth="1"/>
    <col min="9" max="16384" width="9.33203125" style="66"/>
  </cols>
  <sheetData>
    <row r="1" spans="1:13" s="53" customFormat="1" ht="12" hidden="1" x14ac:dyDescent="0.15">
      <c r="A1" s="52"/>
      <c r="B1" s="439" t="s">
        <v>45</v>
      </c>
      <c r="C1" s="439"/>
      <c r="D1" s="439"/>
      <c r="E1" s="439"/>
      <c r="F1" s="439"/>
      <c r="G1" s="439"/>
      <c r="H1" s="52"/>
    </row>
    <row r="2" spans="1:13" s="53" customFormat="1" ht="12" hidden="1" x14ac:dyDescent="0.15">
      <c r="A2" s="54" t="s">
        <v>40</v>
      </c>
      <c r="B2" s="55" t="str">
        <f>Conventional!B6</f>
        <v>Cotton</v>
      </c>
      <c r="C2" s="55" t="str">
        <f>Conventional!D6</f>
        <v>Peanuts</v>
      </c>
      <c r="D2" s="55" t="str">
        <f>Conventional!F6</f>
        <v>Corn</v>
      </c>
      <c r="E2" s="55" t="str">
        <f>Conventional!H6</f>
        <v>Soybeans</v>
      </c>
      <c r="F2" s="55" t="str">
        <f>Conventional!J6</f>
        <v>Sorghum</v>
      </c>
      <c r="G2" s="55" t="str">
        <f>Conventional!V6</f>
        <v>Wheat</v>
      </c>
      <c r="H2" s="52"/>
    </row>
    <row r="3" spans="1:13" s="53" customFormat="1" ht="12" hidden="1" x14ac:dyDescent="0.15">
      <c r="A3" s="54" t="s">
        <v>41</v>
      </c>
      <c r="B3" s="56">
        <f>Conventional!B7</f>
        <v>1200</v>
      </c>
      <c r="C3" s="56">
        <f>Conventional!D7</f>
        <v>4700</v>
      </c>
      <c r="D3" s="56">
        <f>Conventional!F7</f>
        <v>200</v>
      </c>
      <c r="E3" s="56">
        <f>Conventional!H7</f>
        <v>60</v>
      </c>
      <c r="F3" s="56">
        <f>Conventional!J7</f>
        <v>100</v>
      </c>
      <c r="G3" s="56">
        <f>Conventional!V7</f>
        <v>75</v>
      </c>
      <c r="H3" s="57"/>
    </row>
    <row r="4" spans="1:13" s="53" customFormat="1" ht="12" hidden="1" x14ac:dyDescent="0.15">
      <c r="A4" s="53" t="s">
        <v>42</v>
      </c>
      <c r="B4" s="58">
        <f>Conventional!B8</f>
        <v>0.67500000000000004</v>
      </c>
      <c r="C4" s="59">
        <f>Conventional!D8</f>
        <v>400</v>
      </c>
      <c r="D4" s="60">
        <f>Conventional!F8</f>
        <v>4.8</v>
      </c>
      <c r="E4" s="60">
        <f>Conventional!H8</f>
        <v>9.5</v>
      </c>
      <c r="F4" s="60">
        <f>Conventional!J8</f>
        <v>4.7759999999999998</v>
      </c>
      <c r="G4" s="60">
        <f>Conventional!V8</f>
        <v>5.5</v>
      </c>
      <c r="H4" s="60"/>
    </row>
    <row r="5" spans="1:13" s="53" customFormat="1" ht="12" hidden="1" x14ac:dyDescent="0.15">
      <c r="A5" s="61" t="s">
        <v>44</v>
      </c>
      <c r="B5" s="62">
        <f>B3*B4</f>
        <v>810</v>
      </c>
      <c r="C5" s="62">
        <f>C3*C4/2000</f>
        <v>940</v>
      </c>
      <c r="D5" s="62">
        <f>D3*D4</f>
        <v>960</v>
      </c>
      <c r="E5" s="62">
        <f>E3*E4</f>
        <v>570</v>
      </c>
      <c r="F5" s="62">
        <f>F3*F4</f>
        <v>477.59999999999997</v>
      </c>
      <c r="G5" s="62">
        <f>G3*G4</f>
        <v>412.5</v>
      </c>
      <c r="H5" s="63"/>
    </row>
    <row r="6" spans="1:13" s="53" customFormat="1" ht="12" hidden="1" x14ac:dyDescent="0.15">
      <c r="A6" s="61" t="s">
        <v>43</v>
      </c>
      <c r="B6" s="64">
        <f>Conventional!B30</f>
        <v>653.02682613636364</v>
      </c>
      <c r="C6" s="64">
        <f>Conventional!D30</f>
        <v>740.46193750000009</v>
      </c>
      <c r="D6" s="64">
        <f>Conventional!F30</f>
        <v>777.23124999999993</v>
      </c>
      <c r="E6" s="64">
        <f>Conventional!H30</f>
        <v>359.43349999999998</v>
      </c>
      <c r="F6" s="64">
        <f>Conventional!J30</f>
        <v>440.31425000000002</v>
      </c>
      <c r="G6" s="64">
        <f>Conventional!V30</f>
        <v>419.90257031250002</v>
      </c>
      <c r="H6" s="59"/>
    </row>
    <row r="7" spans="1:13" s="53" customFormat="1" ht="16" x14ac:dyDescent="0.2">
      <c r="A7" s="440" t="s">
        <v>127</v>
      </c>
      <c r="B7" s="440"/>
      <c r="C7" s="440"/>
      <c r="D7" s="440"/>
      <c r="E7" s="440"/>
      <c r="F7" s="440"/>
      <c r="G7" s="440"/>
      <c r="H7" s="440"/>
      <c r="I7" s="440"/>
      <c r="J7" s="440"/>
      <c r="K7" s="440"/>
      <c r="L7" s="440"/>
      <c r="M7" s="440"/>
    </row>
    <row r="8" spans="1:13" s="53" customFormat="1" ht="16" x14ac:dyDescent="0.2">
      <c r="A8" s="51" t="s">
        <v>35</v>
      </c>
      <c r="B8" s="65"/>
      <c r="C8" s="65"/>
      <c r="D8" s="65"/>
      <c r="E8" s="65"/>
      <c r="F8" s="65"/>
      <c r="G8" s="65"/>
      <c r="H8" s="65"/>
      <c r="I8" s="65"/>
      <c r="J8" s="65"/>
      <c r="K8" s="65"/>
      <c r="L8" s="65"/>
      <c r="M8" s="65"/>
    </row>
    <row r="9" spans="1:13" x14ac:dyDescent="0.15">
      <c r="A9" s="441" t="s">
        <v>153</v>
      </c>
      <c r="B9" s="441"/>
      <c r="C9" s="441"/>
      <c r="D9" s="441"/>
      <c r="E9" s="441"/>
      <c r="F9" s="441"/>
      <c r="G9" s="441"/>
      <c r="H9" s="441"/>
      <c r="I9" s="441"/>
      <c r="J9" s="441"/>
      <c r="K9" s="441"/>
      <c r="L9" s="441"/>
      <c r="M9" s="441"/>
    </row>
    <row r="10" spans="1:13" x14ac:dyDescent="0.15">
      <c r="A10" s="435" t="s">
        <v>47</v>
      </c>
      <c r="B10" s="435"/>
      <c r="C10" s="435"/>
      <c r="D10" s="435"/>
      <c r="E10" s="435"/>
      <c r="F10" s="435"/>
      <c r="H10" s="435" t="s">
        <v>50</v>
      </c>
      <c r="I10" s="435"/>
      <c r="J10" s="435"/>
      <c r="K10" s="435"/>
      <c r="L10" s="435"/>
      <c r="M10" s="435"/>
    </row>
    <row r="11" spans="1:13" s="53" customFormat="1" ht="12" x14ac:dyDescent="0.15">
      <c r="A11" s="434" t="s">
        <v>36</v>
      </c>
      <c r="B11" s="434"/>
      <c r="C11" s="434"/>
      <c r="D11" s="434"/>
      <c r="E11" s="434"/>
      <c r="F11" s="434"/>
      <c r="H11" s="438" t="s">
        <v>36</v>
      </c>
      <c r="I11" s="438"/>
      <c r="J11" s="438"/>
      <c r="K11" s="438"/>
      <c r="L11" s="438"/>
      <c r="M11" s="438"/>
    </row>
    <row r="12" spans="1:13" x14ac:dyDescent="0.15">
      <c r="A12" s="67" t="s">
        <v>41</v>
      </c>
      <c r="B12" s="68">
        <v>-0.25</v>
      </c>
      <c r="C12" s="68">
        <v>-0.1</v>
      </c>
      <c r="D12" s="69" t="s">
        <v>37</v>
      </c>
      <c r="E12" s="70" t="s">
        <v>38</v>
      </c>
      <c r="F12" s="70" t="s">
        <v>39</v>
      </c>
      <c r="H12" s="67" t="s">
        <v>41</v>
      </c>
      <c r="I12" s="71">
        <v>-0.25</v>
      </c>
      <c r="J12" s="71">
        <v>-0.1</v>
      </c>
      <c r="K12" s="72" t="s">
        <v>37</v>
      </c>
      <c r="L12" s="73" t="s">
        <v>38</v>
      </c>
      <c r="M12" s="73" t="s">
        <v>39</v>
      </c>
    </row>
    <row r="13" spans="1:13" x14ac:dyDescent="0.15">
      <c r="A13" s="74" t="s">
        <v>42</v>
      </c>
      <c r="B13" s="69">
        <f>0.75*D13</f>
        <v>150</v>
      </c>
      <c r="C13" s="69">
        <f>0.9*D13</f>
        <v>180</v>
      </c>
      <c r="D13" s="69">
        <f>D3</f>
        <v>200</v>
      </c>
      <c r="E13" s="69">
        <f>D13*1.1</f>
        <v>220.00000000000003</v>
      </c>
      <c r="F13" s="69">
        <f>D13*1.25</f>
        <v>250</v>
      </c>
      <c r="H13" s="74" t="s">
        <v>42</v>
      </c>
      <c r="I13" s="69">
        <f>0.75*K13</f>
        <v>900</v>
      </c>
      <c r="J13" s="69">
        <f>0.9*K13</f>
        <v>1080</v>
      </c>
      <c r="K13" s="69">
        <f>B3</f>
        <v>1200</v>
      </c>
      <c r="L13" s="69">
        <f>K13*1.1</f>
        <v>1320</v>
      </c>
      <c r="M13" s="69">
        <f>K13*1.25</f>
        <v>1500</v>
      </c>
    </row>
    <row r="14" spans="1:13" x14ac:dyDescent="0.15">
      <c r="A14" s="75">
        <f>A16*0.7</f>
        <v>3.36</v>
      </c>
      <c r="B14" s="76">
        <f>$A$14*B$13-$D$6</f>
        <v>-273.23124999999993</v>
      </c>
      <c r="C14" s="76">
        <f>$A$14*C$13-$D$6</f>
        <v>-172.43124999999998</v>
      </c>
      <c r="D14" s="76">
        <f>$A$14*D$13-$D$6</f>
        <v>-105.23124999999993</v>
      </c>
      <c r="E14" s="76">
        <f>$A$14*E$13-$D$6</f>
        <v>-38.031249999999886</v>
      </c>
      <c r="F14" s="76">
        <f>$A$14*F$13-$D$6</f>
        <v>62.768750000000068</v>
      </c>
      <c r="H14" s="75">
        <f>H16*0.7</f>
        <v>0.47249999999999998</v>
      </c>
      <c r="I14" s="78">
        <f>$H$14*$I$13-$B$6</f>
        <v>-227.77682613636364</v>
      </c>
      <c r="J14" s="78">
        <f>$H$14*J13-$B$6</f>
        <v>-142.72682613636368</v>
      </c>
      <c r="K14" s="78">
        <f>$H$14*K13-$B$6</f>
        <v>-86.026826136363638</v>
      </c>
      <c r="L14" s="78">
        <f>$H$14*L13-$B$6</f>
        <v>-29.326826136363707</v>
      </c>
      <c r="M14" s="78">
        <f>$H$14*M13-$B$6</f>
        <v>55.723173863636362</v>
      </c>
    </row>
    <row r="15" spans="1:13" x14ac:dyDescent="0.15">
      <c r="A15" s="77">
        <f>A16*0.85</f>
        <v>4.08</v>
      </c>
      <c r="B15" s="78">
        <f>$A$15*B$13-$D$6</f>
        <v>-165.23124999999993</v>
      </c>
      <c r="C15" s="78">
        <f>$A$15*C$13-$D$6</f>
        <v>-42.831249999999955</v>
      </c>
      <c r="D15" s="78">
        <f>$A$15*D$13-$D$6</f>
        <v>38.768750000000068</v>
      </c>
      <c r="E15" s="78">
        <f>$A$15*E$13-$D$6</f>
        <v>120.3687500000002</v>
      </c>
      <c r="F15" s="78">
        <f>$A$15*F$13-$D$6</f>
        <v>242.76875000000007</v>
      </c>
      <c r="H15" s="77">
        <f>H16*0.85</f>
        <v>0.57374999999999998</v>
      </c>
      <c r="I15" s="78">
        <f>$H$15*$I$13-$B$6</f>
        <v>-136.65182613636364</v>
      </c>
      <c r="J15" s="78">
        <f>$H$15*J13-$B$6</f>
        <v>-33.376826136363661</v>
      </c>
      <c r="K15" s="78">
        <f>$H$15*K13-$B$6</f>
        <v>35.473173863636362</v>
      </c>
      <c r="L15" s="78">
        <f>$H$15*L13-$B$6</f>
        <v>104.32317386363638</v>
      </c>
      <c r="M15" s="78">
        <f>$H$15*M13-$B$6</f>
        <v>207.59817386363636</v>
      </c>
    </row>
    <row r="16" spans="1:13" x14ac:dyDescent="0.15">
      <c r="A16" s="77">
        <f>D4</f>
        <v>4.8</v>
      </c>
      <c r="B16" s="78">
        <f>$A$16*B$13-$D$6</f>
        <v>-57.231249999999932</v>
      </c>
      <c r="C16" s="78">
        <f>$A$16*C$13-$D$6</f>
        <v>86.768750000000068</v>
      </c>
      <c r="D16" s="78">
        <f>$A$16*D$13-$D$6</f>
        <v>182.76875000000007</v>
      </c>
      <c r="E16" s="78">
        <f>$A$16*E$13-$D$6</f>
        <v>278.76875000000007</v>
      </c>
      <c r="F16" s="78">
        <f>$A$16*F$13-$D$6</f>
        <v>422.76875000000007</v>
      </c>
      <c r="H16" s="77">
        <f>B4</f>
        <v>0.67500000000000004</v>
      </c>
      <c r="I16" s="78">
        <f>$H$16*$I$13-$B$6</f>
        <v>-45.526826136363638</v>
      </c>
      <c r="J16" s="78">
        <f>$H$16*J13-$B$6</f>
        <v>75.973173863636362</v>
      </c>
      <c r="K16" s="78">
        <f>$H$16*K13-$B$6</f>
        <v>156.97317386363636</v>
      </c>
      <c r="L16" s="78">
        <f>$H$16*L13-$B$6</f>
        <v>237.97317386363648</v>
      </c>
      <c r="M16" s="78">
        <f>$H$16*M13-$B$6</f>
        <v>359.47317386363648</v>
      </c>
    </row>
    <row r="17" spans="1:13" x14ac:dyDescent="0.15">
      <c r="A17" s="77">
        <f>A16*1.15</f>
        <v>5.52</v>
      </c>
      <c r="B17" s="78">
        <f>$A$17*B$13-$D$6</f>
        <v>50.768749999999955</v>
      </c>
      <c r="C17" s="78">
        <f>$A$17*C$13-$D$6</f>
        <v>216.36874999999998</v>
      </c>
      <c r="D17" s="78">
        <f>$A$17*D$13-$D$6</f>
        <v>326.76875000000007</v>
      </c>
      <c r="E17" s="78">
        <f>$A$17*E$13-$D$6</f>
        <v>437.16875000000016</v>
      </c>
      <c r="F17" s="78">
        <f>$A$17*F$13-$D$6</f>
        <v>602.76875000000007</v>
      </c>
      <c r="H17" s="77">
        <f>H16*1.15</f>
        <v>0.77625</v>
      </c>
      <c r="I17" s="78">
        <f>$H$17*$I$13-$B$6</f>
        <v>45.598173863636362</v>
      </c>
      <c r="J17" s="78">
        <f>$H$17*J13-$B$6</f>
        <v>185.32317386363638</v>
      </c>
      <c r="K17" s="78">
        <f>$H$17*K13-$B$6</f>
        <v>278.47317386363636</v>
      </c>
      <c r="L17" s="78">
        <f>$H$17*L13-$B$6</f>
        <v>371.62317386363645</v>
      </c>
      <c r="M17" s="78">
        <f>$H$17*M13-$B$6</f>
        <v>511.34817386363636</v>
      </c>
    </row>
    <row r="18" spans="1:13" x14ac:dyDescent="0.15">
      <c r="A18" s="79">
        <f>A16*1.3</f>
        <v>6.24</v>
      </c>
      <c r="B18" s="80">
        <f>$A$18*B$13-$D$6</f>
        <v>158.76875000000007</v>
      </c>
      <c r="C18" s="80">
        <f>$A$18*C$13-$D$6</f>
        <v>345.96875000000011</v>
      </c>
      <c r="D18" s="80">
        <f>$A$18*D$13-$D$6</f>
        <v>470.76875000000007</v>
      </c>
      <c r="E18" s="80">
        <f>$A$18*E$13-$D$6</f>
        <v>595.56875000000025</v>
      </c>
      <c r="F18" s="80">
        <f>$A$18*F$13-$D$6</f>
        <v>782.76875000000007</v>
      </c>
      <c r="H18" s="79">
        <f>H16*1.3</f>
        <v>0.87750000000000006</v>
      </c>
      <c r="I18" s="80">
        <f>$H$18*$I$13-$B$6</f>
        <v>136.72317386363636</v>
      </c>
      <c r="J18" s="80">
        <f>$H$18*J13-$B$6</f>
        <v>294.67317386363641</v>
      </c>
      <c r="K18" s="80">
        <f>$H$18*K13-$B$6</f>
        <v>399.97317386363636</v>
      </c>
      <c r="L18" s="80">
        <f>$H$18*L13-$B$6</f>
        <v>505.27317386363654</v>
      </c>
      <c r="M18" s="80">
        <f>$H$18*M13-$B$6</f>
        <v>663.22317386363636</v>
      </c>
    </row>
    <row r="20" spans="1:13" x14ac:dyDescent="0.15">
      <c r="A20" s="435" t="s">
        <v>48</v>
      </c>
      <c r="B20" s="435"/>
      <c r="C20" s="435"/>
      <c r="D20" s="435"/>
      <c r="E20" s="435"/>
      <c r="F20" s="435"/>
      <c r="H20" s="436" t="s">
        <v>120</v>
      </c>
      <c r="I20" s="436"/>
      <c r="J20" s="436"/>
      <c r="K20" s="436"/>
      <c r="L20" s="436"/>
      <c r="M20" s="436"/>
    </row>
    <row r="21" spans="1:13" s="53" customFormat="1" ht="12" x14ac:dyDescent="0.15">
      <c r="A21" s="434" t="s">
        <v>36</v>
      </c>
      <c r="B21" s="434"/>
      <c r="C21" s="434"/>
      <c r="D21" s="434"/>
      <c r="E21" s="434"/>
      <c r="F21" s="434"/>
      <c r="H21" s="437" t="s">
        <v>36</v>
      </c>
      <c r="I21" s="437"/>
      <c r="J21" s="437"/>
      <c r="K21" s="437"/>
      <c r="L21" s="437"/>
      <c r="M21" s="437"/>
    </row>
    <row r="22" spans="1:13" x14ac:dyDescent="0.15">
      <c r="A22" s="67" t="s">
        <v>41</v>
      </c>
      <c r="B22" s="68">
        <v>-0.25</v>
      </c>
      <c r="C22" s="68">
        <v>-0.1</v>
      </c>
      <c r="D22" s="69" t="s">
        <v>37</v>
      </c>
      <c r="E22" s="70" t="s">
        <v>38</v>
      </c>
      <c r="F22" s="70" t="s">
        <v>39</v>
      </c>
      <c r="H22" s="67" t="s">
        <v>41</v>
      </c>
      <c r="I22" s="68">
        <v>-0.25</v>
      </c>
      <c r="J22" s="68">
        <v>-0.1</v>
      </c>
      <c r="K22" s="69" t="s">
        <v>37</v>
      </c>
      <c r="L22" s="70" t="s">
        <v>38</v>
      </c>
      <c r="M22" s="70" t="s">
        <v>39</v>
      </c>
    </row>
    <row r="23" spans="1:13" x14ac:dyDescent="0.15">
      <c r="A23" s="74" t="s">
        <v>42</v>
      </c>
      <c r="B23" s="69">
        <f>0.75*D23</f>
        <v>75</v>
      </c>
      <c r="C23" s="69">
        <f>0.9*D23</f>
        <v>90</v>
      </c>
      <c r="D23" s="69">
        <f>F3</f>
        <v>100</v>
      </c>
      <c r="E23" s="69">
        <f>D23*1.1</f>
        <v>110.00000000000001</v>
      </c>
      <c r="F23" s="69">
        <f>D23*1.25</f>
        <v>125</v>
      </c>
      <c r="H23" s="74" t="s">
        <v>42</v>
      </c>
      <c r="I23" s="69">
        <f>0.75*K23</f>
        <v>3525</v>
      </c>
      <c r="J23" s="69">
        <f>0.9*K23</f>
        <v>4230</v>
      </c>
      <c r="K23" s="69">
        <f>C3</f>
        <v>4700</v>
      </c>
      <c r="L23" s="69">
        <f>K23*1.1</f>
        <v>5170</v>
      </c>
      <c r="M23" s="69">
        <f>K23*1.25</f>
        <v>5875</v>
      </c>
    </row>
    <row r="24" spans="1:13" x14ac:dyDescent="0.15">
      <c r="A24" s="75">
        <f>A26*0.7</f>
        <v>3.3431999999999995</v>
      </c>
      <c r="B24" s="76">
        <f>$A$24*B$23-$F$6</f>
        <v>-189.57425000000006</v>
      </c>
      <c r="C24" s="76">
        <f>$A$24*C$23-$F$6</f>
        <v>-139.42625000000004</v>
      </c>
      <c r="D24" s="76">
        <f>$A$24*D$23-$F$6</f>
        <v>-105.99425000000008</v>
      </c>
      <c r="E24" s="76">
        <f>$A$24*E$23-$F$6</f>
        <v>-72.562250000000006</v>
      </c>
      <c r="F24" s="76">
        <f>$A$24*F$23-$F$6</f>
        <v>-22.414250000000095</v>
      </c>
      <c r="H24" s="81">
        <f>H26*0.7</f>
        <v>280</v>
      </c>
      <c r="I24" s="76">
        <f>$H$24*I$23/2000-$C$6</f>
        <v>-246.96193750000009</v>
      </c>
      <c r="J24" s="76">
        <f>$H$24*J$23/2000-$C$6</f>
        <v>-148.26193750000004</v>
      </c>
      <c r="K24" s="76">
        <f>$H$24*K$23/2000-$C$6</f>
        <v>-82.46193750000009</v>
      </c>
      <c r="L24" s="76">
        <f>$H$24*L$23/2000-$C$6</f>
        <v>-16.661937500000136</v>
      </c>
      <c r="M24" s="76">
        <f>$H$24*M$23/2000-$C$6</f>
        <v>82.03806249999991</v>
      </c>
    </row>
    <row r="25" spans="1:13" x14ac:dyDescent="0.15">
      <c r="A25" s="77">
        <f>A26*0.85</f>
        <v>4.0595999999999997</v>
      </c>
      <c r="B25" s="78">
        <f>$A$25*B$23-$F$6</f>
        <v>-135.84425000000005</v>
      </c>
      <c r="C25" s="78">
        <f>$A$25*C$23-$F$6</f>
        <v>-74.95025000000004</v>
      </c>
      <c r="D25" s="78">
        <f>$A$25*D$23-$F$6</f>
        <v>-34.354250000000036</v>
      </c>
      <c r="E25" s="78">
        <f>$A$25*E$23-$F$6</f>
        <v>6.2417500000000246</v>
      </c>
      <c r="F25" s="78">
        <f>$A$25*F$23-$F$6</f>
        <v>67.135749999999916</v>
      </c>
      <c r="H25" s="82">
        <f>H26*0.85</f>
        <v>340</v>
      </c>
      <c r="I25" s="78">
        <f>$H$25*I$23/2000-$C$6</f>
        <v>-141.21193750000009</v>
      </c>
      <c r="J25" s="78">
        <f>$H$25*J$23/2000-$C$6</f>
        <v>-21.361937500000067</v>
      </c>
      <c r="K25" s="78">
        <f>$H$25*K$23/2000-$C$6</f>
        <v>58.53806249999991</v>
      </c>
      <c r="L25" s="78">
        <f>$H$25*L$23/2000-$C$6</f>
        <v>138.43806249999989</v>
      </c>
      <c r="M25" s="78">
        <f>$H$25*M$23/2000-$C$6</f>
        <v>258.28806249999991</v>
      </c>
    </row>
    <row r="26" spans="1:13" x14ac:dyDescent="0.15">
      <c r="A26" s="77">
        <f>F4</f>
        <v>4.7759999999999998</v>
      </c>
      <c r="B26" s="78">
        <f>$A$26*B$23-$F$6</f>
        <v>-82.114250000000027</v>
      </c>
      <c r="C26" s="78">
        <f>$A$26*C$23-$F$6</f>
        <v>-10.47425000000004</v>
      </c>
      <c r="D26" s="78">
        <f>$A$26*D$23-$F$6</f>
        <v>37.28574999999995</v>
      </c>
      <c r="E26" s="78">
        <f>$A$26*E$23-$F$6</f>
        <v>85.045749999999998</v>
      </c>
      <c r="F26" s="78">
        <f>$A$26*F$23-$F$6</f>
        <v>156.68574999999998</v>
      </c>
      <c r="H26" s="82">
        <f>C4</f>
        <v>400</v>
      </c>
      <c r="I26" s="78">
        <f>$H$26*I$23/2000-$C$6</f>
        <v>-35.46193750000009</v>
      </c>
      <c r="J26" s="78">
        <f>$H$26*J$23/2000-$C$6</f>
        <v>105.53806249999991</v>
      </c>
      <c r="K26" s="78">
        <f>$H$26*K$23/2000-$C$6</f>
        <v>199.53806249999991</v>
      </c>
      <c r="L26" s="78">
        <f>$H$26*L$23/2000-$C$6</f>
        <v>293.53806249999991</v>
      </c>
      <c r="M26" s="78">
        <f>$H$26*M$23/2000-$C$6</f>
        <v>434.53806249999991</v>
      </c>
    </row>
    <row r="27" spans="1:13" x14ac:dyDescent="0.15">
      <c r="A27" s="77">
        <f>A26*1.15</f>
        <v>5.4923999999999991</v>
      </c>
      <c r="B27" s="78">
        <f>$A$27*B$23-$F$6</f>
        <v>-28.384250000000065</v>
      </c>
      <c r="C27" s="78">
        <f>$A$27*C$23-$F$6</f>
        <v>54.001749999999902</v>
      </c>
      <c r="D27" s="78">
        <f>$A$27*D$23-$F$6</f>
        <v>108.92574999999988</v>
      </c>
      <c r="E27" s="78">
        <f>$A$27*E$23-$F$6</f>
        <v>163.84974999999997</v>
      </c>
      <c r="F27" s="78">
        <f>$A$27*F$23-$F$6</f>
        <v>246.23574999999983</v>
      </c>
      <c r="H27" s="82">
        <f>H26*1.15</f>
        <v>459.99999999999994</v>
      </c>
      <c r="I27" s="78">
        <f>$H$27*I$23/2000-$C$6</f>
        <v>70.288062499999796</v>
      </c>
      <c r="J27" s="78">
        <f>$H$27*J$23/2000-$C$6</f>
        <v>232.43806249999977</v>
      </c>
      <c r="K27" s="78">
        <f>$H$27*K$23/2000-$C$6</f>
        <v>340.53806249999968</v>
      </c>
      <c r="L27" s="78">
        <f>$H$27*L$23/2000-$C$6</f>
        <v>448.63806249999959</v>
      </c>
      <c r="M27" s="78">
        <f>$H$27*M$23/2000-$C$6</f>
        <v>610.78806249999968</v>
      </c>
    </row>
    <row r="28" spans="1:13" x14ac:dyDescent="0.15">
      <c r="A28" s="79">
        <f>A26*1.3</f>
        <v>6.2088000000000001</v>
      </c>
      <c r="B28" s="80">
        <f>$A$28*B$23-$F$6</f>
        <v>25.34575000000001</v>
      </c>
      <c r="C28" s="80">
        <f>$A$28*C$23-$F$6</f>
        <v>118.47775000000001</v>
      </c>
      <c r="D28" s="80">
        <f>$A$28*D$23-$F$6</f>
        <v>180.56574999999998</v>
      </c>
      <c r="E28" s="80">
        <f>$A$28*E$23-$F$6</f>
        <v>242.65375000000006</v>
      </c>
      <c r="F28" s="80">
        <f>$A$28*F$23-$F$6</f>
        <v>335.78575000000001</v>
      </c>
      <c r="H28" s="83">
        <f>H26*1.3</f>
        <v>520</v>
      </c>
      <c r="I28" s="80">
        <f>$H$28*I$23/2000-$C$6</f>
        <v>176.03806249999991</v>
      </c>
      <c r="J28" s="80">
        <f>$H$28*J$23/2000-$C$6</f>
        <v>359.33806249999986</v>
      </c>
      <c r="K28" s="80">
        <f>$H$28*K$23/2000-$C$6</f>
        <v>481.53806249999991</v>
      </c>
      <c r="L28" s="80">
        <f>$H$28*L$23/2000-$C$6</f>
        <v>603.73806249999996</v>
      </c>
      <c r="M28" s="80">
        <f>$H$28*M$23/2000-$C$6</f>
        <v>787.03806249999991</v>
      </c>
    </row>
    <row r="30" spans="1:13" x14ac:dyDescent="0.15">
      <c r="A30" s="435" t="s">
        <v>49</v>
      </c>
      <c r="B30" s="435"/>
      <c r="C30" s="435"/>
      <c r="D30" s="435"/>
      <c r="E30" s="435"/>
      <c r="F30" s="435"/>
      <c r="H30" s="435" t="s">
        <v>64</v>
      </c>
      <c r="I30" s="435"/>
      <c r="J30" s="435"/>
      <c r="K30" s="435"/>
      <c r="L30" s="435"/>
      <c r="M30" s="435"/>
    </row>
    <row r="31" spans="1:13" s="53" customFormat="1" ht="12" x14ac:dyDescent="0.15">
      <c r="A31" s="434" t="s">
        <v>36</v>
      </c>
      <c r="B31" s="434"/>
      <c r="C31" s="434"/>
      <c r="D31" s="434"/>
      <c r="E31" s="434"/>
      <c r="F31" s="434"/>
      <c r="H31" s="434" t="s">
        <v>36</v>
      </c>
      <c r="I31" s="434"/>
      <c r="J31" s="434"/>
      <c r="K31" s="434"/>
      <c r="L31" s="434"/>
      <c r="M31" s="434"/>
    </row>
    <row r="32" spans="1:13" x14ac:dyDescent="0.15">
      <c r="A32" s="67" t="s">
        <v>41</v>
      </c>
      <c r="B32" s="68">
        <v>-0.25</v>
      </c>
      <c r="C32" s="68">
        <v>-0.1</v>
      </c>
      <c r="D32" s="69" t="s">
        <v>37</v>
      </c>
      <c r="E32" s="70" t="s">
        <v>38</v>
      </c>
      <c r="F32" s="70" t="s">
        <v>39</v>
      </c>
      <c r="H32" s="67" t="s">
        <v>41</v>
      </c>
      <c r="I32" s="68">
        <v>-0.25</v>
      </c>
      <c r="J32" s="68">
        <v>-0.1</v>
      </c>
      <c r="K32" s="69" t="s">
        <v>37</v>
      </c>
      <c r="L32" s="70" t="s">
        <v>38</v>
      </c>
      <c r="M32" s="70" t="s">
        <v>39</v>
      </c>
    </row>
    <row r="33" spans="1:13" x14ac:dyDescent="0.15">
      <c r="A33" s="74" t="s">
        <v>42</v>
      </c>
      <c r="B33" s="69">
        <f>0.75*D33</f>
        <v>45</v>
      </c>
      <c r="C33" s="69">
        <f>0.9*D33</f>
        <v>54</v>
      </c>
      <c r="D33" s="69">
        <f>E3</f>
        <v>60</v>
      </c>
      <c r="E33" s="69">
        <f>D33*1.1</f>
        <v>66</v>
      </c>
      <c r="F33" s="69">
        <f>D33*1.25</f>
        <v>75</v>
      </c>
      <c r="H33" s="74" t="s">
        <v>42</v>
      </c>
      <c r="I33" s="69">
        <f>0.75*K33</f>
        <v>56.25</v>
      </c>
      <c r="J33" s="69">
        <f>0.9*K33</f>
        <v>67.5</v>
      </c>
      <c r="K33" s="69">
        <f>G3</f>
        <v>75</v>
      </c>
      <c r="L33" s="69">
        <f>K33*1.1</f>
        <v>82.5</v>
      </c>
      <c r="M33" s="69">
        <f>K33*1.25</f>
        <v>93.75</v>
      </c>
    </row>
    <row r="34" spans="1:13" x14ac:dyDescent="0.15">
      <c r="A34" s="75">
        <f>A36*0.7</f>
        <v>6.6499999999999995</v>
      </c>
      <c r="B34" s="76">
        <f>$A$34*B$33-$E$6</f>
        <v>-60.183499999999981</v>
      </c>
      <c r="C34" s="76">
        <f>$A$34*C$33-$E$6</f>
        <v>-0.33350000000001501</v>
      </c>
      <c r="D34" s="76">
        <f>$A$34*D$33-$E$6</f>
        <v>39.566499999999962</v>
      </c>
      <c r="E34" s="76">
        <f>$A$34*E$33-$E$6</f>
        <v>79.466499999999996</v>
      </c>
      <c r="F34" s="76">
        <f>$A$34*F$33-$E$6</f>
        <v>139.31649999999996</v>
      </c>
      <c r="H34" s="75">
        <f>H36*0.7</f>
        <v>3.8499999999999996</v>
      </c>
      <c r="I34" s="76">
        <f>$H$34*I$33-$G$6</f>
        <v>-203.34007031250005</v>
      </c>
      <c r="J34" s="76">
        <f>$H$34*J$33-$G$6</f>
        <v>-160.02757031250002</v>
      </c>
      <c r="K34" s="76">
        <f>$H$34*K$33-$G$6</f>
        <v>-131.15257031250002</v>
      </c>
      <c r="L34" s="76">
        <f>$H$34*L$33-$G$6</f>
        <v>-102.27757031250007</v>
      </c>
      <c r="M34" s="76">
        <f>$H$34*M$33-$G$6</f>
        <v>-58.965070312500075</v>
      </c>
    </row>
    <row r="35" spans="1:13" x14ac:dyDescent="0.15">
      <c r="A35" s="77">
        <f>A36*0.85</f>
        <v>8.0749999999999993</v>
      </c>
      <c r="B35" s="78">
        <f>$A$35*B$33-$E$6</f>
        <v>3.9414999999999623</v>
      </c>
      <c r="C35" s="78">
        <f>$A$35*C$33-$E$6</f>
        <v>76.616499999999974</v>
      </c>
      <c r="D35" s="78">
        <f>$A$35*D$33-$E$6</f>
        <v>125.06649999999996</v>
      </c>
      <c r="E35" s="78">
        <f>$A$35*E$33-$E$6</f>
        <v>173.51649999999995</v>
      </c>
      <c r="F35" s="78">
        <f>$A$35*F$33-$E$6</f>
        <v>246.19150000000002</v>
      </c>
      <c r="H35" s="77">
        <f>H36*0.85</f>
        <v>4.6749999999999998</v>
      </c>
      <c r="I35" s="78">
        <f>$H$35*I$33-$G$6</f>
        <v>-156.93382031250002</v>
      </c>
      <c r="J35" s="78">
        <f>$H$35*J$33-$G$6</f>
        <v>-104.34007031250002</v>
      </c>
      <c r="K35" s="78">
        <f>$H$35*K$33-$G$6</f>
        <v>-69.277570312500018</v>
      </c>
      <c r="L35" s="78">
        <f>$H$35*L$33-$G$6</f>
        <v>-34.215070312500018</v>
      </c>
      <c r="M35" s="78">
        <f>$H$35*M$33-$G$6</f>
        <v>18.378679687499982</v>
      </c>
    </row>
    <row r="36" spans="1:13" x14ac:dyDescent="0.15">
      <c r="A36" s="77">
        <f>E4</f>
        <v>9.5</v>
      </c>
      <c r="B36" s="78">
        <f>$A$36*B$33-$E$6</f>
        <v>68.066500000000019</v>
      </c>
      <c r="C36" s="78">
        <f>$A$36*C$33-$E$6</f>
        <v>153.56650000000002</v>
      </c>
      <c r="D36" s="78">
        <f>$A$36*D$33-$E$6</f>
        <v>210.56650000000002</v>
      </c>
      <c r="E36" s="78">
        <f>$A$36*E$33-$E$6</f>
        <v>267.56650000000002</v>
      </c>
      <c r="F36" s="78">
        <f>$A$36*F$33-$E$6</f>
        <v>353.06650000000002</v>
      </c>
      <c r="H36" s="77">
        <f>G4</f>
        <v>5.5</v>
      </c>
      <c r="I36" s="78">
        <f>$H$36*I$33-$G$6</f>
        <v>-110.52757031250002</v>
      </c>
      <c r="J36" s="78">
        <f>$H$36*J$33-$G$6</f>
        <v>-48.652570312500018</v>
      </c>
      <c r="K36" s="78">
        <f>$H$36*K$33-$G$6</f>
        <v>-7.4025703125000177</v>
      </c>
      <c r="L36" s="78">
        <f>$H$36*L$33-$G$6</f>
        <v>33.847429687499982</v>
      </c>
      <c r="M36" s="78">
        <f>$H$36*M$33-$G$6</f>
        <v>95.722429687499982</v>
      </c>
    </row>
    <row r="37" spans="1:13" x14ac:dyDescent="0.15">
      <c r="A37" s="77">
        <f>A36*1.15</f>
        <v>10.924999999999999</v>
      </c>
      <c r="B37" s="78">
        <f>$A$37*B$33-$E$6</f>
        <v>132.19149999999996</v>
      </c>
      <c r="C37" s="78">
        <f>$A$37*C$33-$E$6</f>
        <v>230.51649999999995</v>
      </c>
      <c r="D37" s="78">
        <f>$A$37*D$33-$E$6</f>
        <v>296.06649999999991</v>
      </c>
      <c r="E37" s="78">
        <f>$A$37*E$33-$E$6</f>
        <v>361.61649999999997</v>
      </c>
      <c r="F37" s="78">
        <f>$A$37*F$33-$E$6</f>
        <v>459.94149999999991</v>
      </c>
      <c r="H37" s="77">
        <f>H36*1.15</f>
        <v>6.3249999999999993</v>
      </c>
      <c r="I37" s="78">
        <f>$H$37*I$33-$G$6</f>
        <v>-64.121320312500075</v>
      </c>
      <c r="J37" s="78">
        <f>$H$37*J$33-$G$6</f>
        <v>7.0349296874999254</v>
      </c>
      <c r="K37" s="78">
        <f>$H$37*K$33-$G$6</f>
        <v>54.472429687499925</v>
      </c>
      <c r="L37" s="78">
        <f>$H$37*L$33-$G$6</f>
        <v>101.90992968749987</v>
      </c>
      <c r="M37" s="78">
        <f>$H$37*M$33-$G$6</f>
        <v>173.06617968749987</v>
      </c>
    </row>
    <row r="38" spans="1:13" x14ac:dyDescent="0.15">
      <c r="A38" s="79">
        <f>A36*1.3</f>
        <v>12.35</v>
      </c>
      <c r="B38" s="80">
        <f>$A$38*B$33-$E$6</f>
        <v>196.31650000000002</v>
      </c>
      <c r="C38" s="80">
        <f>$A$38*C$33-$E$6</f>
        <v>307.4665</v>
      </c>
      <c r="D38" s="80">
        <f>$A$38*D$33-$E$6</f>
        <v>381.56650000000002</v>
      </c>
      <c r="E38" s="80">
        <f>$A$38*E$33-$E$6</f>
        <v>455.66650000000004</v>
      </c>
      <c r="F38" s="80">
        <f>$A$38*F$33-$E$6</f>
        <v>566.81650000000002</v>
      </c>
      <c r="H38" s="79">
        <f>H36*1.3</f>
        <v>7.15</v>
      </c>
      <c r="I38" s="80">
        <f>$H$38*I$33-$G$6</f>
        <v>-17.715070312500018</v>
      </c>
      <c r="J38" s="80">
        <f>$H$38*J$33-$G$6</f>
        <v>62.722429687499982</v>
      </c>
      <c r="K38" s="80">
        <f>$H$38*K$33-$G$6</f>
        <v>116.34742968749998</v>
      </c>
      <c r="L38" s="80">
        <f>$H$38*L$33-$G$6</f>
        <v>169.97242968749998</v>
      </c>
      <c r="M38" s="80">
        <f>$H$38*M$33-$G$6</f>
        <v>250.40992968749998</v>
      </c>
    </row>
    <row r="39" spans="1:13" s="53" customFormat="1" ht="12" x14ac:dyDescent="0.15"/>
    <row r="49" s="53" customFormat="1" ht="12" x14ac:dyDescent="0.15"/>
    <row r="59" s="53" customFormat="1" ht="12" x14ac:dyDescent="0.15"/>
  </sheetData>
  <sheetProtection sheet="1" objects="1" scenarios="1"/>
  <mergeCells count="15">
    <mergeCell ref="A10:F10"/>
    <mergeCell ref="A11:F11"/>
    <mergeCell ref="H11:M11"/>
    <mergeCell ref="B1:G1"/>
    <mergeCell ref="H10:M10"/>
    <mergeCell ref="A7:M7"/>
    <mergeCell ref="A9:M9"/>
    <mergeCell ref="H31:M31"/>
    <mergeCell ref="A30:F30"/>
    <mergeCell ref="A31:F31"/>
    <mergeCell ref="A20:F20"/>
    <mergeCell ref="A21:F21"/>
    <mergeCell ref="H20:M20"/>
    <mergeCell ref="H21:M21"/>
    <mergeCell ref="H30:M30"/>
  </mergeCells>
  <phoneticPr fontId="2" type="noConversion"/>
  <conditionalFormatting sqref="B14:F18 I14:M18 B24:F28 I24:M28 B34:F38 I34:M38">
    <cfRule type="cellIs" dxfId="3" priority="1" stopIfTrue="1" operator="greaterThanOrEqual">
      <formula>0</formula>
    </cfRule>
  </conditionalFormatting>
  <printOptions horizontalCentered="1" verticalCentered="1"/>
  <pageMargins left="0.5" right="0.5" top="0.5" bottom="0.5" header="0.5" footer="0.5"/>
  <pageSetup orientation="landscape" horizontalDpi="300" verticalDpi="300"/>
  <headerFooter alignWithMargins="0">
    <oddFooter xml:space="preserve">&amp;L&amp;G&amp;C
</odd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118C97-9511-40B9-A0A5-8730D3CA3C5C}"/>
</file>

<file path=customXml/itemProps2.xml><?xml version="1.0" encoding="utf-8"?>
<ds:datastoreItem xmlns:ds="http://schemas.openxmlformats.org/officeDocument/2006/customXml" ds:itemID="{96BCFFB9-4C27-40D3-B062-57E173B64B6F}"/>
</file>

<file path=customXml/itemProps3.xml><?xml version="1.0" encoding="utf-8"?>
<ds:datastoreItem xmlns:ds="http://schemas.openxmlformats.org/officeDocument/2006/customXml" ds:itemID="{89E6A78A-F0E0-4A53-BBF1-DADB6D8DE39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Sheet1</vt:lpstr>
      <vt:lpstr>Conventional</vt:lpstr>
      <vt:lpstr>Prices</vt:lpstr>
      <vt:lpstr>Strip-Till</vt:lpstr>
      <vt:lpstr>Peanut Price Calculator</vt:lpstr>
      <vt:lpstr>Price Comparison</vt:lpstr>
      <vt:lpstr>CTillCharts</vt:lpstr>
      <vt:lpstr>STillCharts</vt:lpstr>
      <vt:lpstr>Irrigated</vt:lpstr>
      <vt:lpstr>Dryland</vt:lpstr>
      <vt:lpstr>Irrigated ST</vt:lpstr>
      <vt:lpstr>Dryland ST</vt:lpstr>
      <vt:lpstr>Conventional!Print_Area</vt:lpstr>
      <vt:lpstr>CTillCharts!Print_Area</vt:lpstr>
      <vt:lpstr>Dryland!Print_Area</vt:lpstr>
      <vt:lpstr>'Dryland ST'!Print_Area</vt:lpstr>
      <vt:lpstr>Irrigated!Print_Area</vt:lpstr>
      <vt:lpstr>'Irrigated ST'!Print_Area</vt:lpstr>
      <vt:lpstr>'Peanut Price Calculator'!Print_Area</vt:lpstr>
      <vt:lpstr>'Price Comparison'!Print_Area</vt:lpstr>
      <vt:lpstr>STillCharts!Print_Area</vt:lpstr>
      <vt:lpstr>'Strip-Till'!Print_Area</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Smith</dc:creator>
  <cp:lastModifiedBy>Amanda R Smith</cp:lastModifiedBy>
  <cp:lastPrinted>2019-03-04T16:28:48Z</cp:lastPrinted>
  <dcterms:created xsi:type="dcterms:W3CDTF">2007-11-26T00:37:18Z</dcterms:created>
  <dcterms:modified xsi:type="dcterms:W3CDTF">2026-01-07T20:30:40Z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