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75" yWindow="65521" windowWidth="11310" windowHeight="8580" tabRatio="784" activeTab="0"/>
  </bookViews>
  <sheets>
    <sheet name="Main" sheetId="1" r:id="rId1"/>
    <sheet name="Fertilizer" sheetId="2" r:id="rId2"/>
    <sheet name="Insect and Weed" sheetId="3" r:id="rId3"/>
    <sheet name="preharvest" sheetId="4" r:id="rId4"/>
    <sheet name="harvest" sheetId="5" r:id="rId5"/>
    <sheet name="self_propelled" sheetId="6" r:id="rId6"/>
    <sheet name="implmnts" sheetId="7" r:id="rId7"/>
    <sheet name="tractors" sheetId="8" r:id="rId8"/>
  </sheets>
  <externalReferences>
    <externalReference r:id="rId11"/>
    <externalReference r:id="rId12"/>
  </externalReferences>
  <definedNames>
    <definedName name="Cotton_Picker_data">'self_propelled'!$A$3:$Z$12</definedName>
    <definedName name="Cotton_Picker_list">'self_propelled'!$A$3:$A$12</definedName>
    <definedName name="cubic_yds">#REF!</definedName>
    <definedName name="DATABASE" localSheetId="7">'tractors'!$B$2:$W$21</definedName>
    <definedName name="DATABASE">'implmnts'!$B$4:$M$106</definedName>
    <definedName name="harvest_equip">'implmnts'!$B$150:$B$169</definedName>
    <definedName name="harvest_equip_data">'implmnts'!$B$151:$U$163</definedName>
    <definedName name="harvest_fuel">'harvest'!$M$21</definedName>
    <definedName name="harvest_hrs">'harvest'!$F$21</definedName>
    <definedName name="harvest_implement_FC">'harvest'!$J$21</definedName>
    <definedName name="harvest_implement_info">'implmnts'!$A$306:$AB$347</definedName>
    <definedName name="harvest_implement_list">'implmnts'!$A$306:$A$347</definedName>
    <definedName name="harvest_rprs">'harvest'!$P$21</definedName>
    <definedName name="harvest_tractor_fc">'harvest'!$R$21</definedName>
    <definedName name="ht">#REF!</definedName>
    <definedName name="iir">'Main'!$B$9</definedName>
    <definedName name="ins_tax">'Main'!$B$10</definedName>
    <definedName name="insect_tot">'Insect and Weed'!$F$25</definedName>
    <definedName name="length">#REF!</definedName>
    <definedName name="number">#REF!</definedName>
    <definedName name="pre_harvest_implement_list">'implmnts'!$A$5:$A$303</definedName>
    <definedName name="pre_hvst_implment_FC">'preharvest'!$J$18</definedName>
    <definedName name="preharvest_equip">'implmnts'!$B$6:$B$146</definedName>
    <definedName name="preharvest_hrs">'preharvest'!$F$18</definedName>
    <definedName name="preharvest_impl_FC">'preharvest'!$R$18</definedName>
    <definedName name="preharvest_implement_info">'implmnts'!$A$5:$AB$303</definedName>
    <definedName name="prehvst_fuel">'preharvest'!$M$18</definedName>
    <definedName name="price">'Main'!#REF!</definedName>
    <definedName name="_xlnm.Print_Area" localSheetId="0">'Main'!$C$2:$I$91</definedName>
    <definedName name="Self_propelled_data">'self_propelled'!$A$14:$Q$27</definedName>
    <definedName name="sprayer_data">'self_propelled'!$A$13:$Z$19</definedName>
    <definedName name="sprayer_fc">'preharvest'!$L$27</definedName>
    <definedName name="sprayer_fuel">'preharvest'!$H$27</definedName>
    <definedName name="sprayer_list">'self_propelled'!$A$13:$A$19</definedName>
    <definedName name="sprayer_rprs">'preharvest'!$J$27</definedName>
    <definedName name="TC">'Main'!$G$45</definedName>
    <definedName name="TFC">'Main'!$G$42</definedName>
    <definedName name="tot_fert">'Fertilizer'!$F$11</definedName>
    <definedName name="tractor_combine_data">'tractors'!$A$3:$W$32</definedName>
    <definedName name="tractor_combine_list">'tractors'!$A$3:$A$37</definedName>
    <definedName name="tractor_list">'[1]tractors'!$A$2:$A$19</definedName>
    <definedName name="tractor_list_ver2">'tractors'!$B$4:$B$203</definedName>
    <definedName name="TVC">'Main'!$G$32</definedName>
    <definedName name="unalloc_labor">'Main'!$B$8</definedName>
    <definedName name="WEED_TOT">'Insect and Weed'!$F$11</definedName>
    <definedName name="width">#REF!</definedName>
    <definedName name="yield">'Main'!$D$7</definedName>
  </definedNames>
  <calcPr fullCalcOnLoad="1"/>
</workbook>
</file>

<file path=xl/comments1.xml><?xml version="1.0" encoding="utf-8"?>
<comments xmlns="http://schemas.openxmlformats.org/spreadsheetml/2006/main">
  <authors>
    <author>Curt Lacy</author>
  </authors>
  <commentList>
    <comment ref="B8" authorId="0">
      <text>
        <r>
          <rPr>
            <sz val="8"/>
            <rFont val="Tahoma"/>
            <family val="0"/>
          </rPr>
          <t>Unallocated labor is percentage allowance for additional  labor that isrequired for equipment moving, hooking and unhooking equipment.  A multiplier of .25 would add 25 percent to the calculated field time.  For instance, if calculated field time is 2.00 hours/acre, and a factor of .25 is used, labor would be figured at 2.5 hours/acre.</t>
        </r>
      </text>
    </comment>
  </commentList>
</comments>
</file>

<file path=xl/sharedStrings.xml><?xml version="1.0" encoding="utf-8"?>
<sst xmlns="http://schemas.openxmlformats.org/spreadsheetml/2006/main" count="1077" uniqueCount="444">
  <si>
    <t>Item</t>
  </si>
  <si>
    <t>Unit</t>
  </si>
  <si>
    <t>Number of Units</t>
  </si>
  <si>
    <t>$/Unit</t>
  </si>
  <si>
    <t>Cost/Acre</t>
  </si>
  <si>
    <t>$/Bushel</t>
  </si>
  <si>
    <t>Your Farm</t>
  </si>
  <si>
    <t>Seed</t>
  </si>
  <si>
    <t>Thous.</t>
  </si>
  <si>
    <t>Expected Yield</t>
  </si>
  <si>
    <t>Weed Control</t>
  </si>
  <si>
    <t>Insect Control</t>
  </si>
  <si>
    <t>Machinery: Preharvest</t>
  </si>
  <si>
    <t>Labor</t>
  </si>
  <si>
    <t>Land Rental</t>
  </si>
  <si>
    <t>Interest on Operating capital</t>
  </si>
  <si>
    <t>Nitrogen</t>
  </si>
  <si>
    <t>lbs.</t>
  </si>
  <si>
    <t>P2O5</t>
  </si>
  <si>
    <t>K2O</t>
  </si>
  <si>
    <t>Lime</t>
  </si>
  <si>
    <t>tons</t>
  </si>
  <si>
    <t>Other</t>
  </si>
  <si>
    <t>Total Fertilizer &amp; Lime</t>
  </si>
  <si>
    <t>Acre</t>
  </si>
  <si>
    <t>Fertilizer Detail</t>
  </si>
  <si>
    <t>Return to Main Page</t>
  </si>
  <si>
    <t>Weed  Detail</t>
  </si>
  <si>
    <t>FERTILIZER &amp; LIME DETAIL</t>
  </si>
  <si>
    <t>WEED CONTROL DETAIL</t>
  </si>
  <si>
    <t>Atrazine</t>
  </si>
  <si>
    <t>Accent</t>
  </si>
  <si>
    <t>Total Weed Cost</t>
  </si>
  <si>
    <t>Pts.</t>
  </si>
  <si>
    <t>Ozs.</t>
  </si>
  <si>
    <t>INSECT CONTROL DETAIL</t>
  </si>
  <si>
    <t>Total Insect Cost</t>
  </si>
  <si>
    <t>Insect  Detail</t>
  </si>
  <si>
    <t>Gallon</t>
  </si>
  <si>
    <t>Implement</t>
  </si>
  <si>
    <t>size</t>
  </si>
  <si>
    <t>Perf Rate</t>
  </si>
  <si>
    <t>Times Over</t>
  </si>
  <si>
    <t>Total Hrs</t>
  </si>
  <si>
    <t>Fuel consumption/hr</t>
  </si>
  <si>
    <t>Total Fuel gal/ac</t>
  </si>
  <si>
    <t>Total Preharvest Equipment</t>
  </si>
  <si>
    <t>NAME</t>
  </si>
  <si>
    <t>SIZE</t>
  </si>
  <si>
    <t>FCRATE</t>
  </si>
  <si>
    <t>PURPRICE</t>
  </si>
  <si>
    <t>SVRATE</t>
  </si>
  <si>
    <t>RMRATE</t>
  </si>
  <si>
    <t>USELIFE</t>
  </si>
  <si>
    <t>ANNUSE</t>
  </si>
  <si>
    <t>Hrs Life</t>
  </si>
  <si>
    <t>Years Old</t>
  </si>
  <si>
    <t>RF1</t>
  </si>
  <si>
    <t>RF2</t>
  </si>
  <si>
    <t>USAGE</t>
  </si>
  <si>
    <t>2WD 50</t>
  </si>
  <si>
    <t>2WD 75</t>
  </si>
  <si>
    <t>2WD 105</t>
  </si>
  <si>
    <t>2WD 130</t>
  </si>
  <si>
    <t>2WD 150</t>
  </si>
  <si>
    <t>2WD 170</t>
  </si>
  <si>
    <t>2WD 190</t>
  </si>
  <si>
    <t>4WD 225</t>
  </si>
  <si>
    <t>MFWD 225</t>
  </si>
  <si>
    <t>MFWD 150</t>
  </si>
  <si>
    <t>MFWD 170</t>
  </si>
  <si>
    <t>Track 180</t>
  </si>
  <si>
    <t>MFWD 190</t>
  </si>
  <si>
    <t>Track 225</t>
  </si>
  <si>
    <t>4WD 300</t>
  </si>
  <si>
    <t>Track 300</t>
  </si>
  <si>
    <t>4WD 400</t>
  </si>
  <si>
    <t>Track 400</t>
  </si>
  <si>
    <t>MN Est</t>
  </si>
  <si>
    <t>Curt's Estimate</t>
  </si>
  <si>
    <t>MSU Est</t>
  </si>
  <si>
    <t>Repairs using Cross's method</t>
  </si>
  <si>
    <t>MSU Method</t>
  </si>
  <si>
    <t>PERFRATE</t>
  </si>
  <si>
    <t>WIDTH</t>
  </si>
  <si>
    <t>SPEED</t>
  </si>
  <si>
    <t>EFF</t>
  </si>
  <si>
    <t>RATEPERF</t>
  </si>
  <si>
    <t>Repair Cost/yr</t>
  </si>
  <si>
    <t>Repair Cost/hr</t>
  </si>
  <si>
    <t>RPR Cost/YR</t>
  </si>
  <si>
    <t>Rpr Cost/HR</t>
  </si>
  <si>
    <t>12'</t>
  </si>
  <si>
    <t>16'</t>
  </si>
  <si>
    <t>24'</t>
  </si>
  <si>
    <t>32'</t>
  </si>
  <si>
    <t>42'</t>
  </si>
  <si>
    <t>500 bu</t>
  </si>
  <si>
    <t>4R-40</t>
  </si>
  <si>
    <t>6R-30</t>
  </si>
  <si>
    <t>6R-40</t>
  </si>
  <si>
    <t>8R-30</t>
  </si>
  <si>
    <t>8R-40</t>
  </si>
  <si>
    <t>10R-30</t>
  </si>
  <si>
    <t>10R-40</t>
  </si>
  <si>
    <t>8R40 2x1</t>
  </si>
  <si>
    <t>Cultipacker</t>
  </si>
  <si>
    <t>20'</t>
  </si>
  <si>
    <t>Disk &amp; Incorporate</t>
  </si>
  <si>
    <t>14'</t>
  </si>
  <si>
    <t>50'</t>
  </si>
  <si>
    <t>Disk Bed (Hipper)</t>
  </si>
  <si>
    <t>4R-30</t>
  </si>
  <si>
    <t>8R-40 2x1</t>
  </si>
  <si>
    <t>12R-40</t>
  </si>
  <si>
    <t>Fert Appl (Liquid)</t>
  </si>
  <si>
    <t>Field Cult &amp; Inc</t>
  </si>
  <si>
    <t>Field Cultivate</t>
  </si>
  <si>
    <t>Grain Drill</t>
  </si>
  <si>
    <t>30'</t>
  </si>
  <si>
    <t>15'</t>
  </si>
  <si>
    <t>Harrow</t>
  </si>
  <si>
    <t>40'</t>
  </si>
  <si>
    <t>47'</t>
  </si>
  <si>
    <t>Heavy Disk</t>
  </si>
  <si>
    <t>21'</t>
  </si>
  <si>
    <t>27'</t>
  </si>
  <si>
    <t>Lo-Till &amp; Bed</t>
  </si>
  <si>
    <t>Middle Buster</t>
  </si>
  <si>
    <t>Paratill &amp; Bed</t>
  </si>
  <si>
    <t>12R-20</t>
  </si>
  <si>
    <t>16R-20</t>
  </si>
  <si>
    <t>Rotary Cutter</t>
  </si>
  <si>
    <t>Row Cond &amp; Inc</t>
  </si>
  <si>
    <t>13'</t>
  </si>
  <si>
    <t>Row Cond (Harrow)</t>
  </si>
  <si>
    <t>Row Cond (Plant)</t>
  </si>
  <si>
    <t>Spin Spreader</t>
  </si>
  <si>
    <t>Spray (Band)</t>
  </si>
  <si>
    <t>60'</t>
  </si>
  <si>
    <t>Spray (Spot)</t>
  </si>
  <si>
    <t>Stalk Shredder</t>
  </si>
  <si>
    <t>Subsoiler</t>
  </si>
  <si>
    <t>3 shank</t>
  </si>
  <si>
    <t>5 shank</t>
  </si>
  <si>
    <t>4 shank</t>
  </si>
  <si>
    <t>Subsoiler low-till</t>
  </si>
  <si>
    <t>RM% $/Hr</t>
  </si>
  <si>
    <t>Rprs/Hr</t>
  </si>
  <si>
    <t>Rprs/Ac</t>
  </si>
  <si>
    <t>HARVEST MACHINERY DETAIL</t>
  </si>
  <si>
    <t>Preharvest Machinery Detail</t>
  </si>
  <si>
    <t>Hrs</t>
  </si>
  <si>
    <t>Percent</t>
  </si>
  <si>
    <t>Total Variable Costs</t>
  </si>
  <si>
    <t>Unallocated Labor Factor</t>
  </si>
  <si>
    <t>4R30"255hp</t>
  </si>
  <si>
    <t>5R30"255hp</t>
  </si>
  <si>
    <t>90'</t>
  </si>
  <si>
    <t>4R30"325hp</t>
  </si>
  <si>
    <t>6R30"325hp</t>
  </si>
  <si>
    <t>80'</t>
  </si>
  <si>
    <t>Implement/Self Propelled Item</t>
  </si>
  <si>
    <t>Total Harvest Equipment</t>
  </si>
  <si>
    <t>Self Propelled Equipment</t>
  </si>
  <si>
    <t>Supporting Equipment + Tractors</t>
  </si>
  <si>
    <t>Tractors &amp; Implements</t>
  </si>
  <si>
    <t>Self-Propelled Items (Sprayers, etc)</t>
  </si>
  <si>
    <t>Combine (250-299 hp)</t>
  </si>
  <si>
    <t>275hp</t>
  </si>
  <si>
    <t>325hp</t>
  </si>
  <si>
    <t>370hp</t>
  </si>
  <si>
    <t>Chisel Plow(Rigid)</t>
  </si>
  <si>
    <t>Chisel Plow(Folding)</t>
  </si>
  <si>
    <t>Spray (Direct/Hood)</t>
  </si>
  <si>
    <t>Spray (Direct/Layby)</t>
  </si>
  <si>
    <t>Cult &amp; Post</t>
  </si>
  <si>
    <t>Cultivate</t>
  </si>
  <si>
    <t>Disk Bed (Hipper)Rdg</t>
  </si>
  <si>
    <t>Disk Harrow</t>
  </si>
  <si>
    <t>Land Plane</t>
  </si>
  <si>
    <t>40'x10'</t>
  </si>
  <si>
    <t>50'x16'</t>
  </si>
  <si>
    <t>Levee Splitter (1/80</t>
  </si>
  <si>
    <t>2 blade</t>
  </si>
  <si>
    <t>Module Builder-1st</t>
  </si>
  <si>
    <t>4R40255</t>
  </si>
  <si>
    <t>NT Grain Drill</t>
  </si>
  <si>
    <t>NT Plant-Rigid</t>
  </si>
  <si>
    <t>NT Plant&amp;Pre-Rigid</t>
  </si>
  <si>
    <t>Pipe Drag</t>
  </si>
  <si>
    <t>Plant - Rigid</t>
  </si>
  <si>
    <t>8R-22</t>
  </si>
  <si>
    <t>Plant - Folding</t>
  </si>
  <si>
    <t>Plant &amp; Pre Rigid</t>
  </si>
  <si>
    <t>Plant &amp; Pre Folding</t>
  </si>
  <si>
    <t>Roller</t>
  </si>
  <si>
    <t>5 ton</t>
  </si>
  <si>
    <t>Spray (Broadcast)</t>
  </si>
  <si>
    <t>700bu</t>
  </si>
  <si>
    <t>6 shank</t>
  </si>
  <si>
    <t>Mulcher Plow</t>
  </si>
  <si>
    <t>NT Plant-Folding</t>
  </si>
  <si>
    <t>NT Plant&amp;Pre-Folding</t>
  </si>
  <si>
    <t>TerraTill Bed w/roll</t>
  </si>
  <si>
    <t>28'</t>
  </si>
  <si>
    <t>Spray (Bcast/HB)</t>
  </si>
  <si>
    <t>27' Fold</t>
  </si>
  <si>
    <t>Chisel-Harrow</t>
  </si>
  <si>
    <t>27 shank</t>
  </si>
  <si>
    <t>21 shank</t>
  </si>
  <si>
    <t>Colter-Chisel-Harrow</t>
  </si>
  <si>
    <t>40' Fold</t>
  </si>
  <si>
    <t>12R-30</t>
  </si>
  <si>
    <t>30' Fold</t>
  </si>
  <si>
    <t>Spray (Bcast/HB/HD)</t>
  </si>
  <si>
    <t>Disk Bed w/roller</t>
  </si>
  <si>
    <t>8 shank</t>
  </si>
  <si>
    <t>RT Cult + PD (Early)</t>
  </si>
  <si>
    <t>RT Cult + PD (Late)</t>
  </si>
  <si>
    <t>RT Cult (Early)</t>
  </si>
  <si>
    <t>RT Cult (Late)</t>
  </si>
  <si>
    <t>16R-30</t>
  </si>
  <si>
    <t>24R-20</t>
  </si>
  <si>
    <t>24R-30</t>
  </si>
  <si>
    <t>23R-15</t>
  </si>
  <si>
    <t>53'</t>
  </si>
  <si>
    <t>Grain Drill &amp; Pre</t>
  </si>
  <si>
    <t>4R30</t>
  </si>
  <si>
    <t>6R30</t>
  </si>
  <si>
    <t>NT Grain Drill &amp; Pre</t>
  </si>
  <si>
    <t>Disk Bed (Hipper)Fld</t>
  </si>
  <si>
    <t>Paratill &amp; Bed Rigid</t>
  </si>
  <si>
    <t>Paratill &amp; Bed Fold.</t>
  </si>
  <si>
    <t>Header Wheat/Sorghum</t>
  </si>
  <si>
    <t>22' Rigid</t>
  </si>
  <si>
    <t>Header - Soybean</t>
  </si>
  <si>
    <t>22' Flex</t>
  </si>
  <si>
    <t>Header - Corn</t>
  </si>
  <si>
    <t>25' Rigid</t>
  </si>
  <si>
    <t>25' Flex</t>
  </si>
  <si>
    <t>30'  Rigid</t>
  </si>
  <si>
    <t>30' Flex</t>
  </si>
  <si>
    <t>15' Flex</t>
  </si>
  <si>
    <t>18' Flex</t>
  </si>
  <si>
    <t>18' Rigid</t>
  </si>
  <si>
    <t>27' Rigid</t>
  </si>
  <si>
    <t>20' Rigid</t>
  </si>
  <si>
    <t>13' Rigid</t>
  </si>
  <si>
    <t>Stalk Shredder-Flail</t>
  </si>
  <si>
    <t>7'</t>
  </si>
  <si>
    <t>8R402X1</t>
  </si>
  <si>
    <t>PREHARVEST INFO</t>
  </si>
  <si>
    <t>Combined Name</t>
  </si>
  <si>
    <t>Cotton Picker-</t>
  </si>
  <si>
    <t>Sprayer (300-450 Gal)</t>
  </si>
  <si>
    <t>Sprayer (600-750 Gal)</t>
  </si>
  <si>
    <t>Sprayer (600-825 Gal)</t>
  </si>
  <si>
    <t>Sprayer (800-1000Gal)</t>
  </si>
  <si>
    <t>Tractor ( 40-59 hp)-</t>
  </si>
  <si>
    <t>Tractor ( 60-89 hp)-</t>
  </si>
  <si>
    <t>Tractor ( 90-119 hp)-</t>
  </si>
  <si>
    <t>Tractor (120-139 hp)-</t>
  </si>
  <si>
    <t>Tractor (140-159 hp)-</t>
  </si>
  <si>
    <t>Tractor (160-179 hp)-</t>
  </si>
  <si>
    <t>Tractor (180-199 hp)-</t>
  </si>
  <si>
    <t>Tractor (200-249 hp)-</t>
  </si>
  <si>
    <t>Tractor (160-199 hp)-</t>
  </si>
  <si>
    <t>Tractor (250-349 hp)-</t>
  </si>
  <si>
    <t>Tractor (350-449 hp)-</t>
  </si>
  <si>
    <t>Combine (300-349 hp)-</t>
  </si>
  <si>
    <t>Combine (350-379 hp)-</t>
  </si>
  <si>
    <t>Combine (275-299 hp)-</t>
  </si>
  <si>
    <t>Combine (300-349hp)-</t>
  </si>
  <si>
    <t>Combine (250-299hp)-</t>
  </si>
  <si>
    <t>Grass-295hp</t>
  </si>
  <si>
    <t>Track-365hp</t>
  </si>
  <si>
    <t>Track-320hp</t>
  </si>
  <si>
    <t>Track-290hp</t>
  </si>
  <si>
    <t>Tractor/Harvester</t>
  </si>
  <si>
    <t>Implemnt Rprs/Hr</t>
  </si>
  <si>
    <t>Implement Rprs/Ac</t>
  </si>
  <si>
    <t>Power unit Rprs/Hr</t>
  </si>
  <si>
    <t>Power Unit Rprs/Ac</t>
  </si>
  <si>
    <t>Total Rprs/Ac</t>
  </si>
  <si>
    <t>Power Units</t>
  </si>
  <si>
    <t>Rprs/Yr</t>
  </si>
  <si>
    <t>Rprs/hr</t>
  </si>
  <si>
    <t>Fuel consumption/Hr</t>
  </si>
  <si>
    <t>Fuel consumption/Ac</t>
  </si>
  <si>
    <t>Square</t>
  </si>
  <si>
    <t>Lg Round</t>
  </si>
  <si>
    <t>Med Rnd</t>
  </si>
  <si>
    <t>Sm Round</t>
  </si>
  <si>
    <t>9'</t>
  </si>
  <si>
    <t>Pop-Up</t>
  </si>
  <si>
    <t>2 Bale</t>
  </si>
  <si>
    <t>1B Lift</t>
  </si>
  <si>
    <t>6'</t>
  </si>
  <si>
    <t>8'</t>
  </si>
  <si>
    <t>8.5'</t>
  </si>
  <si>
    <t>17'</t>
  </si>
  <si>
    <t>Hay Baler-</t>
  </si>
  <si>
    <t>Hay Cut-Cond-</t>
  </si>
  <si>
    <t>Hay Disc Mower-</t>
  </si>
  <si>
    <t>Hay Loader-</t>
  </si>
  <si>
    <t>Hay Mover-</t>
  </si>
  <si>
    <t>Hay Mower-</t>
  </si>
  <si>
    <t>Hay Rake-</t>
  </si>
  <si>
    <t>Hay Rake-Double-</t>
  </si>
  <si>
    <t>Hay Tedder-</t>
  </si>
  <si>
    <t>Hay Trailer-</t>
  </si>
  <si>
    <t>CRF</t>
  </si>
  <si>
    <t>Intermediate Interest Rate</t>
  </si>
  <si>
    <t>Salvage Value</t>
  </si>
  <si>
    <t>Depreciation</t>
  </si>
  <si>
    <t>Interest on AI</t>
  </si>
  <si>
    <t>ins + Tax on AI</t>
  </si>
  <si>
    <t>Insurance + Tax Rate</t>
  </si>
  <si>
    <t>Avg Investment</t>
  </si>
  <si>
    <t>Total FC</t>
  </si>
  <si>
    <t>FC/Hr</t>
  </si>
  <si>
    <t>Implement FC/Hr</t>
  </si>
  <si>
    <t>Implement FC/Ac</t>
  </si>
  <si>
    <t>Tractor/Harvest FC/Hr</t>
  </si>
  <si>
    <t>Tractor/Harvest FC/Ac</t>
  </si>
  <si>
    <t>Total Fixed Costs</t>
  </si>
  <si>
    <t>Fc/Ac</t>
  </si>
  <si>
    <t>Sprayer FC/Hr</t>
  </si>
  <si>
    <t>Sprayer FC/Ac</t>
  </si>
  <si>
    <t>Total FC/Ac</t>
  </si>
  <si>
    <t>Management</t>
  </si>
  <si>
    <t>Machinery: Depreciation, Taxes, Insurance, and Housing</t>
  </si>
  <si>
    <t>% of VC</t>
  </si>
  <si>
    <t>Owned Land Costs; Taxes, Cash Payment, Etc.</t>
  </si>
  <si>
    <t>Return to Main Budget</t>
  </si>
  <si>
    <t>Operation</t>
  </si>
  <si>
    <t>PREHARVEST OPERATIONS</t>
  </si>
  <si>
    <t>Acres/Hour</t>
  </si>
  <si>
    <t>Number Times Over</t>
  </si>
  <si>
    <t>Labor Use (Hr.)</t>
  </si>
  <si>
    <t>Machinery Repairs ($/Ac)</t>
  </si>
  <si>
    <t>Fixed Costs ($/Ac)</t>
  </si>
  <si>
    <t>Total Preharvest Fuel, Repairs, Fixed Costs, &amp; Labor</t>
  </si>
  <si>
    <t>Perf Rate (hrs/ac)</t>
  </si>
  <si>
    <t>ESTIMATED COSTS AND RETURNS</t>
  </si>
  <si>
    <t>YIELD: YOUR FARM</t>
  </si>
  <si>
    <t>TOTAL COSTS AND PROFIT GOAL</t>
  </si>
  <si>
    <t xml:space="preserve">  Total Costs Excluding Land</t>
  </si>
  <si>
    <t>Fixed Costs:</t>
  </si>
  <si>
    <t>NET RETURNS ABOVE VARIABLE COSTS PER ACRE</t>
  </si>
  <si>
    <t>Average</t>
  </si>
  <si>
    <t>+10%</t>
  </si>
  <si>
    <t>+25%</t>
  </si>
  <si>
    <t>Fuel Use (Gal./Ac)</t>
  </si>
  <si>
    <t>Width</t>
  </si>
  <si>
    <t>Speed (mph)</t>
  </si>
  <si>
    <t>FE</t>
  </si>
  <si>
    <t>UGA Perf</t>
  </si>
  <si>
    <t>Boll Buggy</t>
  </si>
  <si>
    <t>2R 40"</t>
  </si>
  <si>
    <t>4R 30"</t>
  </si>
  <si>
    <t>4R 40"</t>
  </si>
  <si>
    <t>5R 30"</t>
  </si>
  <si>
    <t>5R 40"</t>
  </si>
  <si>
    <t>6R 30"</t>
  </si>
  <si>
    <t>6R 40"</t>
  </si>
  <si>
    <t>Corn Grain Cart 8R36</t>
  </si>
  <si>
    <t>Drawn PREHARVEST MACHINERY DETAIL</t>
  </si>
  <si>
    <t>Self-Propelled PREHARVEST MACHINERY DETAIL</t>
  </si>
  <si>
    <t>Prowl</t>
  </si>
  <si>
    <t>Qts.</t>
  </si>
  <si>
    <t>Roundup</t>
  </si>
  <si>
    <t>4R-36</t>
  </si>
  <si>
    <t>6R-36</t>
  </si>
  <si>
    <t>10R-36</t>
  </si>
  <si>
    <t>12R-36</t>
  </si>
  <si>
    <t>8R-36</t>
  </si>
  <si>
    <t>4R20X1260hp</t>
  </si>
  <si>
    <t>2R36"157hp</t>
  </si>
  <si>
    <t>4R36"255hp</t>
  </si>
  <si>
    <t>4R36"325hp</t>
  </si>
  <si>
    <t>5R36"255hp</t>
  </si>
  <si>
    <t>6R36"325hp</t>
  </si>
  <si>
    <t>Pull-type Peanut Combine</t>
  </si>
  <si>
    <t>Peanut Digger &amp; Inverter</t>
  </si>
  <si>
    <t>2R 36"</t>
  </si>
  <si>
    <t>4R 36"</t>
  </si>
  <si>
    <t>6R 36"</t>
  </si>
  <si>
    <t>8R 36"</t>
  </si>
  <si>
    <t>Peanut Digger 2R-36"</t>
  </si>
  <si>
    <t>Peanut Digger 6R-36"</t>
  </si>
  <si>
    <t>Peanut Combine 2R-36"</t>
  </si>
  <si>
    <t>Peanut Combine 4R-36"</t>
  </si>
  <si>
    <t>Peanut Combine 6R-36"</t>
  </si>
  <si>
    <t>12R 20"</t>
  </si>
  <si>
    <t>12R 30"</t>
  </si>
  <si>
    <t>8R 30"</t>
  </si>
  <si>
    <t>Irrigation</t>
  </si>
  <si>
    <t>Inch</t>
  </si>
  <si>
    <t>Poncho</t>
  </si>
  <si>
    <t>Tons</t>
  </si>
  <si>
    <t>Fertilizer</t>
  </si>
  <si>
    <t xml:space="preserve">  Nitrogen</t>
  </si>
  <si>
    <t>Lbs</t>
  </si>
  <si>
    <t xml:space="preserve">  Phospate (P2O5)</t>
  </si>
  <si>
    <t xml:space="preserve">  Potash (K2O)</t>
  </si>
  <si>
    <t>Disk Harrow32'</t>
  </si>
  <si>
    <t>Tractor (180-199 hp)-MFWD 190</t>
  </si>
  <si>
    <t>Crop Insurance</t>
  </si>
  <si>
    <t>Option</t>
  </si>
  <si>
    <t>240hp</t>
  </si>
  <si>
    <t>Combine (200-249 hp)-</t>
  </si>
  <si>
    <t>Tractor (120-139 hp)-2WD 130</t>
  </si>
  <si>
    <t>Crop oil</t>
  </si>
  <si>
    <t>ESTIMATED LABOR AND MACHINERY COSTS PER ACRE</t>
  </si>
  <si>
    <t>Spray (Broadcast)60'</t>
  </si>
  <si>
    <t>Plow 4 Bottom Switch</t>
  </si>
  <si>
    <t>Plow 5 Bottom Switch</t>
  </si>
  <si>
    <t>7.5'</t>
  </si>
  <si>
    <t>Heavy Disk27'</t>
  </si>
  <si>
    <t xml:space="preserve">*Irrigation application assumes use of diesel power unit.  Electric power unit is estimated to be 60% of the cost of $2.25 per gal diesel. </t>
  </si>
  <si>
    <t>Irrigation*</t>
  </si>
  <si>
    <t>TONS</t>
  </si>
  <si>
    <t>Custom Harvesting</t>
  </si>
  <si>
    <t>Tractor (200-249 hp)-MFWD 225</t>
  </si>
  <si>
    <t>Custom Bagging</t>
  </si>
  <si>
    <t>CORN SILAGE, IRRIGATED - CUSTOM HARVEST, CUSTOM BAGGING</t>
  </si>
  <si>
    <t>Total Pre-harvest Costs</t>
  </si>
  <si>
    <t>Harvesting Costs</t>
  </si>
  <si>
    <t>Total Harvesting Costs</t>
  </si>
  <si>
    <t xml:space="preserve">Prepared By: R Curt Lacy, Nathan B Smith and Amanda R Ziehl, UGA Extension Economists, Department of Agricultural &amp; Applied Economics </t>
  </si>
  <si>
    <t>Acknowledgements:  The authors gratefully acknowledge the contributions of John Bernard and Dewey Lee in the construction of the 2007 corn silage budgets.</t>
  </si>
  <si>
    <t>Other __________________________________</t>
  </si>
  <si>
    <t xml:space="preserve">   Preharvest</t>
  </si>
  <si>
    <t xml:space="preserve">   Harvest</t>
  </si>
  <si>
    <t xml:space="preserve">   Fuel</t>
  </si>
  <si>
    <t xml:space="preserve">   Repairs &amp; Maintenance</t>
  </si>
  <si>
    <t>Variable Costs:</t>
  </si>
  <si>
    <t>Disk Bed (Hipper)8R-30</t>
  </si>
  <si>
    <t>Plant - Rigid8R-30</t>
  </si>
  <si>
    <t>Fert Appl (Liquid)8R-30</t>
  </si>
  <si>
    <t>Thous</t>
  </si>
  <si>
    <t>SOUTH GEORGIA,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</si>
</sst>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%"/>
    <numFmt numFmtId="172" formatCode="0.0000000000000"/>
    <numFmt numFmtId="173" formatCode="0.000000000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Bookman Old Style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14"/>
      <name val="Times New Roman"/>
      <family val="1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Courier New"/>
      <family val="3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4" fontId="0" fillId="0" borderId="0" xfId="17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1" xfId="17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17" applyFont="1" applyAlignment="1">
      <alignment/>
    </xf>
    <xf numFmtId="0" fontId="2" fillId="0" borderId="0" xfId="20" applyAlignment="1">
      <alignment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44" fontId="1" fillId="0" borderId="2" xfId="17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44" fontId="0" fillId="0" borderId="4" xfId="17" applyBorder="1" applyAlignment="1">
      <alignment/>
    </xf>
    <xf numFmtId="0" fontId="0" fillId="0" borderId="5" xfId="0" applyBorder="1" applyAlignment="1">
      <alignment/>
    </xf>
    <xf numFmtId="44" fontId="0" fillId="0" borderId="6" xfId="17" applyBorder="1" applyAlignment="1">
      <alignment/>
    </xf>
    <xf numFmtId="0" fontId="6" fillId="0" borderId="0" xfId="22" applyAlignment="1">
      <alignment wrapText="1"/>
      <protection/>
    </xf>
    <xf numFmtId="164" fontId="6" fillId="0" borderId="0" xfId="22" applyNumberFormat="1" applyAlignment="1">
      <alignment wrapText="1"/>
      <protection/>
    </xf>
    <xf numFmtId="0" fontId="6" fillId="0" borderId="0" xfId="22">
      <alignment/>
      <protection/>
    </xf>
    <xf numFmtId="164" fontId="6" fillId="0" borderId="0" xfId="22" applyNumberFormat="1">
      <alignment/>
      <protection/>
    </xf>
    <xf numFmtId="0" fontId="6" fillId="0" borderId="7" xfId="22" applyFont="1" applyBorder="1">
      <alignment/>
      <protection/>
    </xf>
    <xf numFmtId="0" fontId="6" fillId="0" borderId="8" xfId="22" applyBorder="1">
      <alignment/>
      <protection/>
    </xf>
    <xf numFmtId="164" fontId="6" fillId="0" borderId="8" xfId="22" applyNumberFormat="1" applyBorder="1">
      <alignment/>
      <protection/>
    </xf>
    <xf numFmtId="164" fontId="6" fillId="0" borderId="9" xfId="22" applyNumberFormat="1" applyBorder="1">
      <alignment/>
      <protection/>
    </xf>
    <xf numFmtId="1" fontId="5" fillId="0" borderId="0" xfId="21" applyNumberFormat="1">
      <alignment/>
      <protection/>
    </xf>
    <xf numFmtId="1" fontId="5" fillId="2" borderId="0" xfId="21" applyNumberFormat="1" applyFill="1">
      <alignment/>
      <protection/>
    </xf>
    <xf numFmtId="164" fontId="5" fillId="0" borderId="0" xfId="21" applyNumberFormat="1">
      <alignment/>
      <protection/>
    </xf>
    <xf numFmtId="0" fontId="5" fillId="0" borderId="0" xfId="21">
      <alignment/>
      <protection/>
    </xf>
    <xf numFmtId="44" fontId="5" fillId="0" borderId="0" xfId="17" applyAlignment="1">
      <alignment/>
    </xf>
    <xf numFmtId="44" fontId="5" fillId="3" borderId="0" xfId="17" applyFill="1" applyAlignment="1">
      <alignment/>
    </xf>
    <xf numFmtId="1" fontId="5" fillId="4" borderId="0" xfId="21" applyNumberFormat="1" applyFill="1">
      <alignment/>
      <protection/>
    </xf>
    <xf numFmtId="1" fontId="5" fillId="5" borderId="0" xfId="21" applyNumberFormat="1" applyFill="1">
      <alignment/>
      <protection/>
    </xf>
    <xf numFmtId="1" fontId="5" fillId="0" borderId="0" xfId="21" applyNumberFormat="1" applyAlignment="1">
      <alignment horizontal="center" wrapText="1"/>
      <protection/>
    </xf>
    <xf numFmtId="164" fontId="5" fillId="0" borderId="0" xfId="21" applyNumberFormat="1" applyAlignment="1">
      <alignment horizontal="center" wrapText="1"/>
      <protection/>
    </xf>
    <xf numFmtId="0" fontId="5" fillId="0" borderId="0" xfId="21" applyAlignment="1">
      <alignment horizontal="center" wrapText="1"/>
      <protection/>
    </xf>
    <xf numFmtId="1" fontId="5" fillId="2" borderId="0" xfId="21" applyNumberFormat="1" applyFill="1" applyAlignment="1">
      <alignment horizontal="center" wrapText="1"/>
      <protection/>
    </xf>
    <xf numFmtId="44" fontId="5" fillId="2" borderId="0" xfId="17" applyFill="1" applyAlignment="1">
      <alignment horizontal="center" wrapText="1"/>
    </xf>
    <xf numFmtId="44" fontId="5" fillId="3" borderId="0" xfId="17" applyFill="1" applyAlignment="1">
      <alignment horizontal="center" wrapText="1"/>
    </xf>
    <xf numFmtId="0" fontId="5" fillId="4" borderId="0" xfId="21" applyFill="1">
      <alignment/>
      <protection/>
    </xf>
    <xf numFmtId="0" fontId="5" fillId="2" borderId="0" xfId="21" applyFill="1">
      <alignment/>
      <protection/>
    </xf>
    <xf numFmtId="0" fontId="6" fillId="0" borderId="0" xfId="22" applyFont="1" applyAlignment="1">
      <alignment wrapText="1"/>
      <protection/>
    </xf>
    <xf numFmtId="44" fontId="6" fillId="0" borderId="0" xfId="17" applyAlignment="1">
      <alignment/>
    </xf>
    <xf numFmtId="44" fontId="6" fillId="0" borderId="8" xfId="17" applyBorder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6" fillId="4" borderId="0" xfId="22" applyFill="1">
      <alignment/>
      <protection/>
    </xf>
    <xf numFmtId="44" fontId="6" fillId="4" borderId="0" xfId="17" applyFill="1" applyAlignment="1">
      <alignment/>
    </xf>
    <xf numFmtId="0" fontId="6" fillId="4" borderId="0" xfId="22" applyFont="1" applyFill="1">
      <alignment/>
      <protection/>
    </xf>
    <xf numFmtId="0" fontId="6" fillId="6" borderId="0" xfId="22" applyFill="1">
      <alignment/>
      <protection/>
    </xf>
    <xf numFmtId="1" fontId="5" fillId="5" borderId="0" xfId="21" applyNumberFormat="1" applyFont="1" applyFill="1">
      <alignment/>
      <protection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5" fillId="0" borderId="0" xfId="21" applyFont="1" applyAlignment="1">
      <alignment horizontal="center" wrapText="1"/>
      <protection/>
    </xf>
    <xf numFmtId="0" fontId="5" fillId="0" borderId="0" xfId="21" applyFont="1">
      <alignment/>
      <protection/>
    </xf>
    <xf numFmtId="44" fontId="6" fillId="0" borderId="0" xfId="17" applyFont="1" applyAlignment="1">
      <alignment wrapText="1"/>
    </xf>
    <xf numFmtId="44" fontId="6" fillId="0" borderId="0" xfId="22" applyNumberFormat="1">
      <alignment/>
      <protection/>
    </xf>
    <xf numFmtId="0" fontId="0" fillId="0" borderId="8" xfId="0" applyBorder="1" applyAlignment="1">
      <alignment/>
    </xf>
    <xf numFmtId="44" fontId="6" fillId="0" borderId="0" xfId="17" applyFont="1" applyAlignment="1">
      <alignment/>
    </xf>
    <xf numFmtId="2" fontId="6" fillId="0" borderId="8" xfId="22" applyNumberFormat="1" applyBorder="1">
      <alignment/>
      <protection/>
    </xf>
    <xf numFmtId="164" fontId="6" fillId="4" borderId="0" xfId="22" applyNumberFormat="1" applyFill="1">
      <alignment/>
      <protection/>
    </xf>
    <xf numFmtId="164" fontId="5" fillId="0" borderId="0" xfId="21" applyNumberFormat="1" applyFont="1" applyAlignment="1">
      <alignment wrapText="1"/>
      <protection/>
    </xf>
    <xf numFmtId="1" fontId="5" fillId="0" borderId="0" xfId="21" applyNumberFormat="1" applyFont="1" applyAlignment="1">
      <alignment wrapText="1"/>
      <protection/>
    </xf>
    <xf numFmtId="164" fontId="5" fillId="0" borderId="0" xfId="21" applyNumberFormat="1" applyFont="1" applyAlignment="1">
      <alignment horizontal="center" wrapText="1"/>
      <protection/>
    </xf>
    <xf numFmtId="1" fontId="5" fillId="0" borderId="0" xfId="21" applyNumberFormat="1" applyFont="1" applyAlignment="1">
      <alignment horizontal="center" wrapText="1"/>
      <protection/>
    </xf>
    <xf numFmtId="44" fontId="6" fillId="0" borderId="0" xfId="17" applyFont="1" applyAlignment="1">
      <alignment horizontal="center" wrapText="1"/>
    </xf>
    <xf numFmtId="164" fontId="8" fillId="0" borderId="0" xfId="22" applyNumberFormat="1" applyFont="1" applyAlignment="1">
      <alignment horizontal="center" wrapText="1"/>
      <protection/>
    </xf>
    <xf numFmtId="0" fontId="8" fillId="0" borderId="0" xfId="22" applyFont="1" applyAlignment="1">
      <alignment horizontal="center" wrapText="1"/>
      <protection/>
    </xf>
    <xf numFmtId="44" fontId="8" fillId="0" borderId="0" xfId="17" applyFont="1" applyAlignment="1">
      <alignment horizont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44" fontId="11" fillId="0" borderId="0" xfId="17" applyFont="1" applyAlignment="1">
      <alignment/>
    </xf>
    <xf numFmtId="0" fontId="12" fillId="0" borderId="0" xfId="0" applyFont="1" applyAlignment="1">
      <alignment horizontal="center" wrapText="1"/>
    </xf>
    <xf numFmtId="0" fontId="12" fillId="7" borderId="0" xfId="0" applyFont="1" applyFill="1" applyAlignment="1">
      <alignment/>
    </xf>
    <xf numFmtId="10" fontId="12" fillId="7" borderId="0" xfId="23" applyNumberFormat="1" applyFont="1" applyFill="1" applyAlignment="1">
      <alignment/>
    </xf>
    <xf numFmtId="0" fontId="13" fillId="0" borderId="0" xfId="20" applyFont="1" applyAlignment="1">
      <alignment/>
    </xf>
    <xf numFmtId="0" fontId="11" fillId="0" borderId="0" xfId="0" applyFont="1" applyFill="1" applyAlignment="1">
      <alignment/>
    </xf>
    <xf numFmtId="169" fontId="0" fillId="0" borderId="0" xfId="0" applyNumberFormat="1" applyAlignment="1">
      <alignment/>
    </xf>
    <xf numFmtId="165" fontId="5" fillId="0" borderId="0" xfId="21" applyNumberFormat="1" applyAlignment="1">
      <alignment horizontal="center" wrapText="1"/>
      <protection/>
    </xf>
    <xf numFmtId="2" fontId="5" fillId="0" borderId="0" xfId="21" applyNumberFormat="1" applyAlignment="1">
      <alignment horizontal="center" wrapText="1"/>
      <protection/>
    </xf>
    <xf numFmtId="170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0" xfId="21" applyNumberFormat="1" applyFont="1">
      <alignment/>
      <protection/>
    </xf>
    <xf numFmtId="2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44" fontId="0" fillId="0" borderId="0" xfId="17" applyFont="1" applyAlignment="1">
      <alignment/>
    </xf>
    <xf numFmtId="44" fontId="0" fillId="3" borderId="0" xfId="17" applyFont="1" applyFill="1" applyAlignment="1">
      <alignment/>
    </xf>
    <xf numFmtId="0" fontId="0" fillId="0" borderId="0" xfId="21" applyFont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44" fontId="1" fillId="0" borderId="11" xfId="17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14" fillId="0" borderId="0" xfId="0" applyFont="1" applyAlignment="1">
      <alignment/>
    </xf>
    <xf numFmtId="10" fontId="0" fillId="0" borderId="0" xfId="23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2" xfId="0" applyNumberFormat="1" applyFont="1" applyBorder="1" applyAlignment="1">
      <alignment/>
    </xf>
    <xf numFmtId="44" fontId="1" fillId="0" borderId="12" xfId="17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44" fontId="0" fillId="0" borderId="11" xfId="17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23" applyNumberFormat="1" applyFont="1" applyAlignment="1">
      <alignment/>
    </xf>
    <xf numFmtId="2" fontId="0" fillId="0" borderId="10" xfId="0" applyNumberFormat="1" applyFont="1" applyBorder="1" applyAlignment="1">
      <alignment/>
    </xf>
    <xf numFmtId="44" fontId="0" fillId="0" borderId="10" xfId="17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4" fontId="0" fillId="0" borderId="15" xfId="17" applyFont="1" applyBorder="1" applyAlignment="1">
      <alignment/>
    </xf>
    <xf numFmtId="44" fontId="0" fillId="0" borderId="4" xfId="17" applyFont="1" applyBorder="1" applyAlignment="1">
      <alignment/>
    </xf>
    <xf numFmtId="44" fontId="0" fillId="0" borderId="16" xfId="17" applyFont="1" applyBorder="1" applyAlignment="1">
      <alignment/>
    </xf>
    <xf numFmtId="44" fontId="0" fillId="0" borderId="1" xfId="17" applyFont="1" applyBorder="1" applyAlignment="1">
      <alignment/>
    </xf>
    <xf numFmtId="44" fontId="0" fillId="0" borderId="6" xfId="17" applyFont="1" applyBorder="1" applyAlignment="1">
      <alignment/>
    </xf>
    <xf numFmtId="44" fontId="0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2" fontId="0" fillId="0" borderId="8" xfId="0" applyNumberFormat="1" applyFont="1" applyBorder="1" applyAlignment="1">
      <alignment horizontal="center" wrapText="1"/>
    </xf>
    <xf numFmtId="44" fontId="0" fillId="0" borderId="8" xfId="17" applyFont="1" applyBorder="1" applyAlignment="1">
      <alignment horizontal="center" wrapText="1"/>
    </xf>
    <xf numFmtId="44" fontId="0" fillId="0" borderId="9" xfId="17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17" applyNumberFormat="1" applyFont="1" applyAlignment="1">
      <alignment/>
    </xf>
    <xf numFmtId="0" fontId="0" fillId="0" borderId="10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44" fontId="0" fillId="0" borderId="12" xfId="17" applyFont="1" applyBorder="1" applyAlignment="1">
      <alignment/>
    </xf>
    <xf numFmtId="1" fontId="0" fillId="8" borderId="0" xfId="0" applyNumberFormat="1" applyFill="1" applyAlignment="1">
      <alignment/>
    </xf>
    <xf numFmtId="1" fontId="0" fillId="0" borderId="0" xfId="0" applyNumberFormat="1" applyFont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169" fontId="0" fillId="8" borderId="0" xfId="0" applyNumberFormat="1" applyFill="1" applyAlignment="1">
      <alignment/>
    </xf>
    <xf numFmtId="0" fontId="5" fillId="8" borderId="0" xfId="21" applyFill="1">
      <alignment/>
      <protection/>
    </xf>
    <xf numFmtId="165" fontId="0" fillId="8" borderId="0" xfId="0" applyNumberFormat="1" applyFill="1" applyAlignment="1">
      <alignment/>
    </xf>
    <xf numFmtId="170" fontId="0" fillId="8" borderId="0" xfId="0" applyNumberFormat="1" applyFill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8" borderId="0" xfId="0" applyNumberFormat="1" applyFill="1" applyAlignment="1">
      <alignment/>
    </xf>
    <xf numFmtId="1" fontId="0" fillId="8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1" fontId="0" fillId="2" borderId="0" xfId="21" applyNumberFormat="1" applyFont="1" applyFill="1">
      <alignment/>
      <protection/>
    </xf>
    <xf numFmtId="1" fontId="0" fillId="3" borderId="0" xfId="21" applyNumberFormat="1" applyFont="1" applyFill="1">
      <alignment/>
      <protection/>
    </xf>
    <xf numFmtId="164" fontId="0" fillId="0" borderId="0" xfId="21" applyNumberFormat="1" applyFont="1" applyAlignment="1">
      <alignment wrapText="1"/>
      <protection/>
    </xf>
    <xf numFmtId="1" fontId="0" fillId="0" borderId="0" xfId="21" applyNumberFormat="1" applyFont="1" applyAlignment="1">
      <alignment wrapText="1"/>
      <protection/>
    </xf>
    <xf numFmtId="164" fontId="0" fillId="2" borderId="0" xfId="21" applyNumberFormat="1" applyFont="1" applyFill="1">
      <alignment/>
      <protection/>
    </xf>
    <xf numFmtId="164" fontId="0" fillId="3" borderId="0" xfId="21" applyNumberFormat="1" applyFont="1" applyFill="1">
      <alignment/>
      <protection/>
    </xf>
    <xf numFmtId="1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21" applyNumberFormat="1" applyFont="1">
      <alignment/>
      <protection/>
    </xf>
    <xf numFmtId="0" fontId="0" fillId="8" borderId="0" xfId="0" applyNumberFormat="1" applyFont="1" applyFill="1" applyAlignment="1">
      <alignment/>
    </xf>
    <xf numFmtId="0" fontId="0" fillId="8" borderId="0" xfId="21" applyFont="1" applyFill="1">
      <alignment/>
      <protection/>
    </xf>
    <xf numFmtId="1" fontId="0" fillId="8" borderId="0" xfId="0" applyNumberFormat="1" applyFont="1" applyFill="1" applyAlignment="1">
      <alignment/>
    </xf>
    <xf numFmtId="0" fontId="5" fillId="8" borderId="0" xfId="21" applyFont="1" applyFill="1">
      <alignment/>
      <protection/>
    </xf>
    <xf numFmtId="2" fontId="0" fillId="8" borderId="0" xfId="21" applyNumberFormat="1" applyFont="1" applyFill="1">
      <alignment/>
      <protection/>
    </xf>
    <xf numFmtId="2" fontId="5" fillId="8" borderId="0" xfId="21" applyNumberFormat="1" applyFill="1">
      <alignment/>
      <protection/>
    </xf>
    <xf numFmtId="44" fontId="1" fillId="0" borderId="0" xfId="17" applyFont="1" applyFill="1" applyBorder="1" applyAlignment="1">
      <alignment horizontal="center"/>
    </xf>
    <xf numFmtId="0" fontId="6" fillId="6" borderId="0" xfId="22" applyFont="1" applyFill="1">
      <alignment/>
      <protection/>
    </xf>
    <xf numFmtId="44" fontId="6" fillId="0" borderId="0" xfId="17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 quotePrefix="1">
      <alignment horizontal="center"/>
    </xf>
    <xf numFmtId="9" fontId="0" fillId="0" borderId="4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44" fontId="1" fillId="0" borderId="19" xfId="17" applyFont="1" applyBorder="1" applyAlignment="1">
      <alignment/>
    </xf>
    <xf numFmtId="0" fontId="11" fillId="0" borderId="0" xfId="0" applyFont="1" applyAlignment="1">
      <alignment vertical="center"/>
    </xf>
    <xf numFmtId="0" fontId="15" fillId="7" borderId="19" xfId="0" applyFont="1" applyFill="1" applyBorder="1" applyAlignment="1">
      <alignment/>
    </xf>
    <xf numFmtId="2" fontId="15" fillId="7" borderId="19" xfId="0" applyNumberFormat="1" applyFont="1" applyFill="1" applyBorder="1" applyAlignment="1">
      <alignment/>
    </xf>
    <xf numFmtId="44" fontId="15" fillId="7" borderId="19" xfId="17" applyFont="1" applyFill="1" applyBorder="1" applyAlignment="1">
      <alignment/>
    </xf>
    <xf numFmtId="0" fontId="16" fillId="7" borderId="19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3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44" fontId="0" fillId="0" borderId="4" xfId="17" applyFont="1" applyBorder="1" applyAlignment="1">
      <alignment horizontal="center"/>
    </xf>
    <xf numFmtId="39" fontId="15" fillId="7" borderId="8" xfId="17" applyNumberFormat="1" applyFont="1" applyFill="1" applyBorder="1" applyAlignment="1">
      <alignment horizontal="center" vertical="center"/>
    </xf>
    <xf numFmtId="44" fontId="15" fillId="7" borderId="8" xfId="17" applyFont="1" applyFill="1" applyBorder="1" applyAlignment="1">
      <alignment horizontal="center" vertical="center"/>
    </xf>
    <xf numFmtId="44" fontId="15" fillId="7" borderId="9" xfId="17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3" fontId="0" fillId="0" borderId="0" xfId="17" applyNumberForma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 horizontal="left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4" fontId="1" fillId="0" borderId="0" xfId="17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20" applyAlignment="1">
      <alignment horizontal="center"/>
    </xf>
    <xf numFmtId="0" fontId="8" fillId="0" borderId="0" xfId="22" applyFont="1" applyAlignment="1">
      <alignment horizontal="center"/>
      <protection/>
    </xf>
    <xf numFmtId="0" fontId="10" fillId="9" borderId="0" xfId="22" applyFont="1" applyFill="1" applyAlignment="1">
      <alignment horizontal="center" vertical="center" textRotation="60"/>
      <protection/>
    </xf>
    <xf numFmtId="0" fontId="6" fillId="6" borderId="0" xfId="22" applyFont="1" applyFill="1" applyAlignment="1">
      <alignment vertical="center" textRotation="47"/>
      <protection/>
    </xf>
    <xf numFmtId="0" fontId="0" fillId="6" borderId="0" xfId="0" applyFill="1" applyAlignment="1">
      <alignment vertical="center" textRotation="47"/>
    </xf>
    <xf numFmtId="0" fontId="5" fillId="0" borderId="0" xfId="21" applyAlignment="1">
      <alignment horizontal="center"/>
      <protection/>
    </xf>
    <xf numFmtId="44" fontId="5" fillId="3" borderId="0" xfId="17" applyFill="1" applyAlignment="1">
      <alignment horizontal="center"/>
    </xf>
    <xf numFmtId="1" fontId="5" fillId="0" borderId="0" xfId="21" applyNumberFormat="1" applyFont="1" applyAlignment="1">
      <alignment horizontal="center"/>
      <protection/>
    </xf>
    <xf numFmtId="1" fontId="5" fillId="0" borderId="0" xfId="21" applyNumberForma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lmnts" xfId="21"/>
    <cellStyle name="Normal_mach drop down list" xfId="22"/>
    <cellStyle name="Percent" xfId="23"/>
  </cellStyles>
  <dxfs count="1">
    <dxf>
      <font>
        <color auto="1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88</xdr:row>
      <xdr:rowOff>28575</xdr:rowOff>
    </xdr:from>
    <xdr:to>
      <xdr:col>6</xdr:col>
      <xdr:colOff>47625</xdr:colOff>
      <xdr:row>90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7183100"/>
          <a:ext cx="2314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cy-lt\C-Drive\My%20Documents\Budgets\Machinery%20Info\implm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.TIFTON_CAMPUS\My%20Documents\Budgets\Crops\2005\New%20Budgets%20-%20peanu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1">
        <row r="7">
          <cell r="B7" t="str">
            <v>Lime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zoomScale="75" zoomScaleNormal="75" workbookViewId="0" topLeftCell="A1">
      <selection activeCell="B6" sqref="B6"/>
    </sheetView>
  </sheetViews>
  <sheetFormatPr defaultColWidth="9.140625" defaultRowHeight="12.75"/>
  <cols>
    <col min="1" max="1" width="27.28125" style="73" customWidth="1"/>
    <col min="2" max="2" width="26.57421875" style="73" customWidth="1"/>
    <col min="3" max="3" width="42.00390625" style="73" customWidth="1"/>
    <col min="4" max="4" width="12.28125" style="73" customWidth="1"/>
    <col min="5" max="5" width="12.140625" style="74" customWidth="1"/>
    <col min="6" max="6" width="11.28125" style="75" customWidth="1"/>
    <col min="7" max="7" width="11.7109375" style="75" customWidth="1"/>
    <col min="8" max="8" width="11.140625" style="75" customWidth="1"/>
    <col min="9" max="9" width="9.8515625" style="73" customWidth="1"/>
    <col min="10" max="11" width="9.140625" style="73" customWidth="1"/>
    <col min="12" max="12" width="46.00390625" style="73" customWidth="1"/>
    <col min="13" max="13" width="11.28125" style="73" bestFit="1" customWidth="1"/>
    <col min="14" max="15" width="10.140625" style="73" bestFit="1" customWidth="1"/>
    <col min="16" max="16" width="12.421875" style="73" bestFit="1" customWidth="1"/>
    <col min="17" max="17" width="11.28125" style="73" bestFit="1" customWidth="1"/>
    <col min="18" max="18" width="10.140625" style="73" bestFit="1" customWidth="1"/>
    <col min="19" max="16384" width="9.140625" style="73" customWidth="1"/>
  </cols>
  <sheetData>
    <row r="1" ht="13.5"/>
    <row r="2" spans="3:9" ht="13.5">
      <c r="C2" s="201" t="s">
        <v>427</v>
      </c>
      <c r="D2" s="201"/>
      <c r="E2" s="201"/>
      <c r="F2" s="201"/>
      <c r="G2" s="201"/>
      <c r="H2" s="201"/>
      <c r="I2" s="201"/>
    </row>
    <row r="3" spans="3:9" ht="13.5">
      <c r="C3" s="201" t="s">
        <v>443</v>
      </c>
      <c r="D3" s="201"/>
      <c r="E3" s="201"/>
      <c r="F3" s="201"/>
      <c r="G3" s="201"/>
      <c r="H3" s="201"/>
      <c r="I3" s="201"/>
    </row>
    <row r="4" spans="3:9" ht="13.5">
      <c r="C4" s="201"/>
      <c r="D4" s="201"/>
      <c r="E4" s="201"/>
      <c r="F4" s="201"/>
      <c r="G4" s="201"/>
      <c r="H4" s="201"/>
      <c r="I4" s="201"/>
    </row>
    <row r="5" spans="3:9" ht="13.5">
      <c r="C5" s="201" t="s">
        <v>345</v>
      </c>
      <c r="D5" s="201"/>
      <c r="E5" s="201"/>
      <c r="F5" s="201"/>
      <c r="G5" s="201"/>
      <c r="H5" s="201"/>
      <c r="I5" s="201"/>
    </row>
    <row r="6" spans="3:9" ht="13.5">
      <c r="C6" s="93"/>
      <c r="D6" s="93"/>
      <c r="E6" s="94"/>
      <c r="F6" s="89"/>
      <c r="G6" s="89"/>
      <c r="H6" s="89"/>
      <c r="I6" s="93"/>
    </row>
    <row r="7" spans="3:9" ht="13.5">
      <c r="C7" s="198" t="s">
        <v>9</v>
      </c>
      <c r="D7" s="179">
        <v>23</v>
      </c>
      <c r="E7" s="93" t="s">
        <v>423</v>
      </c>
      <c r="F7" s="89"/>
      <c r="G7" s="89" t="s">
        <v>346</v>
      </c>
      <c r="H7" s="89"/>
      <c r="I7" s="95"/>
    </row>
    <row r="8" spans="1:9" ht="13.5">
      <c r="A8" s="73" t="s">
        <v>155</v>
      </c>
      <c r="B8" s="77">
        <v>0.25</v>
      </c>
      <c r="C8" s="93"/>
      <c r="D8" s="93"/>
      <c r="E8" s="94"/>
      <c r="F8" s="89"/>
      <c r="G8" s="89"/>
      <c r="H8" s="89"/>
      <c r="I8" s="93"/>
    </row>
    <row r="9" spans="1:9" ht="14.25" thickBot="1">
      <c r="A9" s="73" t="s">
        <v>313</v>
      </c>
      <c r="B9" s="78">
        <v>0.09</v>
      </c>
      <c r="C9" s="93"/>
      <c r="D9" s="93"/>
      <c r="E9" s="94"/>
      <c r="F9" s="89"/>
      <c r="G9" s="89"/>
      <c r="H9" s="89"/>
      <c r="I9" s="93"/>
    </row>
    <row r="10" spans="1:9" ht="25.5">
      <c r="A10" s="73" t="s">
        <v>318</v>
      </c>
      <c r="B10" s="78">
        <v>0.024</v>
      </c>
      <c r="C10" s="96" t="s">
        <v>438</v>
      </c>
      <c r="D10" s="96" t="s">
        <v>1</v>
      </c>
      <c r="E10" s="97" t="s">
        <v>2</v>
      </c>
      <c r="F10" s="98" t="s">
        <v>3</v>
      </c>
      <c r="G10" s="98" t="s">
        <v>4</v>
      </c>
      <c r="H10" s="98" t="str">
        <f>+CONCATENATE("$/",E7)</f>
        <v>$/TONS</v>
      </c>
      <c r="I10" s="96" t="s">
        <v>6</v>
      </c>
    </row>
    <row r="11" spans="3:10" ht="13.5">
      <c r="C11" s="93" t="s">
        <v>7</v>
      </c>
      <c r="D11" s="93" t="s">
        <v>8</v>
      </c>
      <c r="E11" s="94">
        <v>27.5</v>
      </c>
      <c r="F11" s="89">
        <v>1.94</v>
      </c>
      <c r="G11" s="89">
        <f>+F11*E11</f>
        <v>53.35</v>
      </c>
      <c r="H11" s="89">
        <f>+G11/yield</f>
        <v>2.3195652173913044</v>
      </c>
      <c r="I11" s="95"/>
      <c r="J11" s="76"/>
    </row>
    <row r="12" spans="3:9" ht="13.5">
      <c r="C12" s="93" t="str">
        <f>'[2]Fertilizer'!B7</f>
        <v>Lime</v>
      </c>
      <c r="D12" s="93" t="s">
        <v>401</v>
      </c>
      <c r="E12" s="94">
        <f>Fertilizer!D7</f>
        <v>0.5</v>
      </c>
      <c r="F12" s="89">
        <f>Fertilizer!E7</f>
        <v>35</v>
      </c>
      <c r="G12" s="89">
        <f>Fertilizer!F7</f>
        <v>17.5</v>
      </c>
      <c r="H12" s="89">
        <f>+G12/yield</f>
        <v>0.7608695652173914</v>
      </c>
      <c r="I12" s="99"/>
    </row>
    <row r="13" spans="2:9" ht="13.5">
      <c r="B13" s="79" t="s">
        <v>25</v>
      </c>
      <c r="C13" s="93" t="s">
        <v>402</v>
      </c>
      <c r="D13" s="93"/>
      <c r="E13" s="94"/>
      <c r="F13" s="89"/>
      <c r="G13" s="89"/>
      <c r="H13" s="89"/>
      <c r="I13" s="181"/>
    </row>
    <row r="14" spans="2:9" ht="13.5">
      <c r="B14" s="79"/>
      <c r="C14" s="93" t="s">
        <v>403</v>
      </c>
      <c r="D14" s="93" t="s">
        <v>404</v>
      </c>
      <c r="E14" s="94">
        <f>Fertilizer!D4</f>
        <v>225</v>
      </c>
      <c r="F14" s="89">
        <f>+Fertilizer!E4</f>
        <v>0.75</v>
      </c>
      <c r="G14" s="89">
        <f>Fertilizer!F4</f>
        <v>168.75</v>
      </c>
      <c r="H14" s="89">
        <f>+G14/yield</f>
        <v>7.336956521739131</v>
      </c>
      <c r="I14" s="95"/>
    </row>
    <row r="15" spans="2:9" ht="13.5">
      <c r="B15" s="79"/>
      <c r="C15" s="93" t="s">
        <v>405</v>
      </c>
      <c r="D15" s="93" t="s">
        <v>404</v>
      </c>
      <c r="E15" s="94">
        <f>Fertilizer!D5</f>
        <v>90</v>
      </c>
      <c r="F15" s="89">
        <f>+Fertilizer!E5</f>
        <v>0.9</v>
      </c>
      <c r="G15" s="89">
        <f>Fertilizer!F5</f>
        <v>81</v>
      </c>
      <c r="H15" s="89">
        <f>+G15/yield</f>
        <v>3.5217391304347827</v>
      </c>
      <c r="I15" s="99"/>
    </row>
    <row r="16" spans="2:9" ht="13.5">
      <c r="B16" s="79"/>
      <c r="C16" s="93" t="s">
        <v>406</v>
      </c>
      <c r="D16" s="93" t="s">
        <v>404</v>
      </c>
      <c r="E16" s="94">
        <f>Fertilizer!D6</f>
        <v>125</v>
      </c>
      <c r="F16" s="89">
        <f>+Fertilizer!E6</f>
        <v>0.6</v>
      </c>
      <c r="G16" s="89">
        <f>Fertilizer!F6</f>
        <v>75</v>
      </c>
      <c r="H16" s="89">
        <f>+G16/yield</f>
        <v>3.260869565217391</v>
      </c>
      <c r="I16" s="99"/>
    </row>
    <row r="17" spans="2:9" ht="13.5">
      <c r="B17" s="79"/>
      <c r="C17" s="93" t="s">
        <v>10</v>
      </c>
      <c r="D17" s="93" t="s">
        <v>24</v>
      </c>
      <c r="E17" s="94">
        <v>1</v>
      </c>
      <c r="F17" s="89">
        <f>+WEED_TOT</f>
        <v>24.815</v>
      </c>
      <c r="G17" s="89">
        <f>+WEED_TOT</f>
        <v>24.815</v>
      </c>
      <c r="H17" s="89">
        <f>+G17/yield</f>
        <v>1.078913043478261</v>
      </c>
      <c r="I17" s="99"/>
    </row>
    <row r="18" spans="2:9" ht="13.5">
      <c r="B18" s="79" t="s">
        <v>27</v>
      </c>
      <c r="C18" s="93" t="s">
        <v>11</v>
      </c>
      <c r="D18" s="93" t="s">
        <v>24</v>
      </c>
      <c r="E18" s="94">
        <v>1</v>
      </c>
      <c r="F18" s="89">
        <f>+insect_tot</f>
        <v>6.53125</v>
      </c>
      <c r="G18" s="89">
        <f>+insect_tot</f>
        <v>6.53125</v>
      </c>
      <c r="H18" s="89">
        <f>+G18/yield</f>
        <v>0.28396739130434784</v>
      </c>
      <c r="I18" s="99"/>
    </row>
    <row r="19" spans="2:9" ht="13.5">
      <c r="B19" s="79" t="s">
        <v>37</v>
      </c>
      <c r="C19" s="100" t="s">
        <v>12</v>
      </c>
      <c r="D19" s="93"/>
      <c r="E19" s="94"/>
      <c r="F19" s="89"/>
      <c r="G19" s="89"/>
      <c r="H19" s="89"/>
      <c r="I19" s="181"/>
    </row>
    <row r="20" spans="2:9" ht="13.5">
      <c r="B20" s="79" t="s">
        <v>151</v>
      </c>
      <c r="C20" s="93" t="s">
        <v>436</v>
      </c>
      <c r="D20" s="93" t="s">
        <v>38</v>
      </c>
      <c r="E20" s="94">
        <f>+prehvst_fuel+sprayer_fuel</f>
        <v>3.7323369868144622</v>
      </c>
      <c r="F20" s="89">
        <v>4</v>
      </c>
      <c r="G20" s="89">
        <f>+F20*E20</f>
        <v>14.929347947257849</v>
      </c>
      <c r="H20" s="89">
        <f>+G20/yield</f>
        <v>0.6491020846633847</v>
      </c>
      <c r="I20" s="95"/>
    </row>
    <row r="21" spans="3:9" ht="13.5">
      <c r="C21" s="93" t="s">
        <v>437</v>
      </c>
      <c r="D21" s="93" t="s">
        <v>24</v>
      </c>
      <c r="E21" s="94">
        <v>1</v>
      </c>
      <c r="F21" s="89">
        <f>+preharvest!O18+preharvest!H18+sprayer_rprs</f>
        <v>6.482416252230668</v>
      </c>
      <c r="G21" s="89">
        <f>+F21*E21</f>
        <v>6.482416252230668</v>
      </c>
      <c r="H21" s="89">
        <f>+G21/yield</f>
        <v>0.2818441848795943</v>
      </c>
      <c r="I21" s="99"/>
    </row>
    <row r="22" spans="3:9" ht="13.5">
      <c r="C22" s="93" t="s">
        <v>422</v>
      </c>
      <c r="D22" s="93" t="s">
        <v>399</v>
      </c>
      <c r="E22" s="94">
        <v>8</v>
      </c>
      <c r="F22" s="89">
        <v>16.5</v>
      </c>
      <c r="G22" s="89">
        <f>+F22*E22</f>
        <v>132</v>
      </c>
      <c r="H22" s="89">
        <f aca="true" t="shared" si="0" ref="H22:H32">+G22/yield</f>
        <v>5.739130434782608</v>
      </c>
      <c r="I22" s="99"/>
    </row>
    <row r="23" spans="3:9" ht="13.5">
      <c r="C23" s="93" t="s">
        <v>13</v>
      </c>
      <c r="D23" s="93" t="s">
        <v>152</v>
      </c>
      <c r="E23" s="94">
        <f>+(preharvest_hrs+harvest_hrs)*(1+unalloc_labor)</f>
        <v>0.564062288840975</v>
      </c>
      <c r="F23" s="89">
        <v>10</v>
      </c>
      <c r="G23" s="89">
        <f aca="true" t="shared" si="1" ref="G23:G30">+F23*E23</f>
        <v>5.64062288840975</v>
      </c>
      <c r="H23" s="89">
        <f t="shared" si="0"/>
        <v>0.24524447340911956</v>
      </c>
      <c r="I23" s="99"/>
    </row>
    <row r="24" spans="3:9" ht="13.5">
      <c r="C24" s="93" t="s">
        <v>409</v>
      </c>
      <c r="D24" s="93" t="s">
        <v>24</v>
      </c>
      <c r="E24" s="94">
        <v>1</v>
      </c>
      <c r="F24" s="89">
        <v>9</v>
      </c>
      <c r="G24" s="89">
        <f t="shared" si="1"/>
        <v>9</v>
      </c>
      <c r="H24" s="89">
        <f t="shared" si="0"/>
        <v>0.391304347826087</v>
      </c>
      <c r="I24" s="99"/>
    </row>
    <row r="25" spans="3:9" ht="13.5">
      <c r="C25" s="93" t="s">
        <v>14</v>
      </c>
      <c r="D25" s="93" t="s">
        <v>24</v>
      </c>
      <c r="E25" s="94">
        <v>1</v>
      </c>
      <c r="F25" s="89">
        <v>0</v>
      </c>
      <c r="G25" s="89">
        <f t="shared" si="1"/>
        <v>0</v>
      </c>
      <c r="H25" s="89">
        <f t="shared" si="0"/>
        <v>0</v>
      </c>
      <c r="I25" s="99"/>
    </row>
    <row r="26" spans="3:9" ht="13.5">
      <c r="C26" s="93" t="s">
        <v>15</v>
      </c>
      <c r="D26" s="93" t="s">
        <v>153</v>
      </c>
      <c r="E26" s="89">
        <f>+SUM(G11:G25)*0.5</f>
        <v>297.49931854394913</v>
      </c>
      <c r="F26" s="101">
        <v>0.08</v>
      </c>
      <c r="G26" s="89">
        <f t="shared" si="1"/>
        <v>23.79994548351593</v>
      </c>
      <c r="H26" s="89">
        <f t="shared" si="0"/>
        <v>1.0347802384137361</v>
      </c>
      <c r="I26" s="99"/>
    </row>
    <row r="27" spans="3:9" ht="13.5">
      <c r="C27" s="105" t="s">
        <v>428</v>
      </c>
      <c r="D27" s="105"/>
      <c r="E27" s="106"/>
      <c r="F27" s="107"/>
      <c r="G27" s="107">
        <f>+SUM(G11:G26)</f>
        <v>618.7985825714142</v>
      </c>
      <c r="H27" s="107">
        <f t="shared" si="0"/>
        <v>26.904286198757138</v>
      </c>
      <c r="I27" s="105"/>
    </row>
    <row r="28" spans="3:9" ht="13.5">
      <c r="C28" s="180" t="s">
        <v>429</v>
      </c>
      <c r="D28" s="93"/>
      <c r="E28" s="89"/>
      <c r="F28" s="101"/>
      <c r="G28" s="89"/>
      <c r="H28" s="89"/>
      <c r="I28" s="181"/>
    </row>
    <row r="29" spans="3:9" ht="13.5">
      <c r="C29" s="102" t="s">
        <v>424</v>
      </c>
      <c r="D29" s="102" t="s">
        <v>401</v>
      </c>
      <c r="E29" s="103">
        <f>+yield</f>
        <v>23</v>
      </c>
      <c r="F29" s="104">
        <v>10.5</v>
      </c>
      <c r="G29" s="104">
        <f t="shared" si="1"/>
        <v>241.5</v>
      </c>
      <c r="H29" s="104">
        <f t="shared" si="0"/>
        <v>10.5</v>
      </c>
      <c r="I29" s="95"/>
    </row>
    <row r="30" spans="3:9" ht="13.5">
      <c r="C30" s="178" t="s">
        <v>426</v>
      </c>
      <c r="D30" s="178" t="s">
        <v>401</v>
      </c>
      <c r="E30" s="103">
        <f>+yield</f>
        <v>23</v>
      </c>
      <c r="F30" s="104">
        <v>8</v>
      </c>
      <c r="G30" s="104">
        <f t="shared" si="1"/>
        <v>184</v>
      </c>
      <c r="H30" s="104">
        <f t="shared" si="0"/>
        <v>8</v>
      </c>
      <c r="I30" s="102"/>
    </row>
    <row r="31" spans="3:9" ht="13.5">
      <c r="C31" s="105" t="s">
        <v>430</v>
      </c>
      <c r="D31" s="105"/>
      <c r="E31" s="106"/>
      <c r="F31" s="107"/>
      <c r="G31" s="107">
        <f>+SUM(G29:G30)</f>
        <v>425.5</v>
      </c>
      <c r="H31" s="107">
        <f t="shared" si="0"/>
        <v>18.5</v>
      </c>
      <c r="I31" s="105"/>
    </row>
    <row r="32" spans="3:9" ht="20.25" customHeight="1" thickBot="1">
      <c r="C32" s="182" t="s">
        <v>154</v>
      </c>
      <c r="D32" s="182"/>
      <c r="E32" s="183"/>
      <c r="F32" s="184"/>
      <c r="G32" s="184">
        <f>+G31+G27</f>
        <v>1044.298582571414</v>
      </c>
      <c r="H32" s="184">
        <f t="shared" si="0"/>
        <v>45.404286198757134</v>
      </c>
      <c r="I32" s="182"/>
    </row>
    <row r="33" spans="3:9" ht="14.25" thickBot="1">
      <c r="C33" s="93"/>
      <c r="D33" s="93"/>
      <c r="E33" s="94"/>
      <c r="F33" s="89"/>
      <c r="G33" s="89"/>
      <c r="H33" s="89"/>
      <c r="I33" s="93"/>
    </row>
    <row r="34" spans="3:9" ht="13.5">
      <c r="C34" s="108" t="s">
        <v>349</v>
      </c>
      <c r="D34" s="109"/>
      <c r="E34" s="110"/>
      <c r="F34" s="111"/>
      <c r="G34" s="111"/>
      <c r="H34" s="111"/>
      <c r="I34" s="109"/>
    </row>
    <row r="35" spans="3:9" ht="13.5">
      <c r="C35" s="202" t="s">
        <v>332</v>
      </c>
      <c r="D35" s="202"/>
      <c r="E35" s="94"/>
      <c r="F35" s="89"/>
      <c r="G35" s="89"/>
      <c r="H35" s="89"/>
      <c r="I35" s="93"/>
    </row>
    <row r="36" spans="3:9" ht="13.5">
      <c r="C36" s="112" t="s">
        <v>434</v>
      </c>
      <c r="D36" s="93" t="s">
        <v>24</v>
      </c>
      <c r="E36" s="94">
        <v>1</v>
      </c>
      <c r="F36" s="89">
        <f>+sprayer_fc+preharvest_impl_FC</f>
        <v>17.596400233502234</v>
      </c>
      <c r="G36" s="89">
        <f>+F36*E36</f>
        <v>17.596400233502234</v>
      </c>
      <c r="H36" s="89">
        <f>+G36/yield</f>
        <v>0.7650608797174884</v>
      </c>
      <c r="I36" s="95"/>
    </row>
    <row r="37" spans="3:9" ht="13.5">
      <c r="C37" s="112" t="s">
        <v>435</v>
      </c>
      <c r="D37" s="93" t="s">
        <v>24</v>
      </c>
      <c r="E37" s="94">
        <v>1</v>
      </c>
      <c r="F37" s="89">
        <f>+harvest_tractor_fc+harvest_implement_FC</f>
        <v>0</v>
      </c>
      <c r="G37" s="89">
        <f>+F37*E37</f>
        <v>0</v>
      </c>
      <c r="H37" s="89">
        <f>+G37/yield</f>
        <v>0</v>
      </c>
      <c r="I37" s="99"/>
    </row>
    <row r="38" spans="3:9" ht="13.5">
      <c r="C38" s="93" t="s">
        <v>331</v>
      </c>
      <c r="D38" s="93" t="s">
        <v>333</v>
      </c>
      <c r="E38" s="89">
        <f>+TVC</f>
        <v>1044.298582571414</v>
      </c>
      <c r="F38" s="101">
        <v>0.05</v>
      </c>
      <c r="G38" s="89">
        <f>+F38*E38</f>
        <v>52.2149291285707</v>
      </c>
      <c r="H38" s="89">
        <f>+G38/yield</f>
        <v>2.2702143099378564</v>
      </c>
      <c r="I38" s="99"/>
    </row>
    <row r="39" spans="3:9" ht="13.5">
      <c r="C39" s="93" t="s">
        <v>398</v>
      </c>
      <c r="D39" s="93" t="s">
        <v>24</v>
      </c>
      <c r="E39" s="94">
        <v>1</v>
      </c>
      <c r="F39" s="113">
        <v>90</v>
      </c>
      <c r="G39" s="89">
        <f>+F39*E39</f>
        <v>90</v>
      </c>
      <c r="H39" s="89">
        <f>+G39/yield</f>
        <v>3.9130434782608696</v>
      </c>
      <c r="I39" s="99"/>
    </row>
    <row r="40" spans="3:9" ht="13.5">
      <c r="C40" s="112" t="s">
        <v>334</v>
      </c>
      <c r="D40" s="93" t="s">
        <v>24</v>
      </c>
      <c r="E40" s="94">
        <v>1</v>
      </c>
      <c r="F40" s="89">
        <v>0</v>
      </c>
      <c r="G40" s="89">
        <f>+F40*E40</f>
        <v>0</v>
      </c>
      <c r="H40" s="89">
        <f>+G40/yield</f>
        <v>0</v>
      </c>
      <c r="I40" s="99"/>
    </row>
    <row r="41" spans="3:9" ht="14.25" customHeight="1">
      <c r="C41" s="137" t="s">
        <v>433</v>
      </c>
      <c r="D41" s="95" t="s">
        <v>24</v>
      </c>
      <c r="E41" s="114">
        <v>1</v>
      </c>
      <c r="F41" s="115">
        <v>0</v>
      </c>
      <c r="G41" s="115">
        <v>0</v>
      </c>
      <c r="H41" s="115">
        <v>0</v>
      </c>
      <c r="I41" s="99"/>
    </row>
    <row r="42" spans="3:9" ht="13.5">
      <c r="C42" s="105" t="s">
        <v>326</v>
      </c>
      <c r="D42" s="99"/>
      <c r="E42" s="138"/>
      <c r="F42" s="139"/>
      <c r="G42" s="107">
        <f>+SUM(G36:G40)</f>
        <v>159.81132936207294</v>
      </c>
      <c r="H42" s="107">
        <f>+G42/yield</f>
        <v>6.948318667916214</v>
      </c>
      <c r="I42" s="99"/>
    </row>
    <row r="43" spans="3:9" ht="13.5">
      <c r="C43" s="93"/>
      <c r="D43" s="93"/>
      <c r="E43" s="94"/>
      <c r="F43" s="89"/>
      <c r="G43" s="89"/>
      <c r="H43" s="89"/>
      <c r="I43" s="181"/>
    </row>
    <row r="44" spans="3:9" ht="13.5">
      <c r="C44" s="102" t="s">
        <v>347</v>
      </c>
      <c r="D44" s="102"/>
      <c r="E44" s="103"/>
      <c r="F44" s="104"/>
      <c r="G44" s="104"/>
      <c r="H44" s="104"/>
      <c r="I44" s="102"/>
    </row>
    <row r="45" spans="3:9" ht="15.75" thickBot="1">
      <c r="C45" s="186" t="s">
        <v>348</v>
      </c>
      <c r="D45" s="186"/>
      <c r="E45" s="187"/>
      <c r="F45" s="188"/>
      <c r="G45" s="188">
        <f>+G42+G32</f>
        <v>1204.109911933487</v>
      </c>
      <c r="H45" s="188">
        <f>+G45/yield</f>
        <v>52.352604866673346</v>
      </c>
      <c r="I45" s="189"/>
    </row>
    <row r="46" spans="3:9" ht="13.5">
      <c r="C46" s="102"/>
      <c r="D46" s="102"/>
      <c r="E46" s="103"/>
      <c r="F46" s="104"/>
      <c r="G46" s="104"/>
      <c r="H46" s="104"/>
      <c r="I46" s="102"/>
    </row>
    <row r="47" spans="3:9" ht="13.5">
      <c r="C47" s="211" t="s">
        <v>421</v>
      </c>
      <c r="D47" s="211"/>
      <c r="E47" s="211"/>
      <c r="F47" s="211"/>
      <c r="G47" s="211"/>
      <c r="H47" s="211"/>
      <c r="I47" s="211"/>
    </row>
    <row r="48" spans="3:9" ht="13.5">
      <c r="C48" s="211"/>
      <c r="D48" s="211"/>
      <c r="E48" s="211"/>
      <c r="F48" s="211"/>
      <c r="G48" s="211"/>
      <c r="H48" s="211"/>
      <c r="I48" s="211"/>
    </row>
    <row r="49" spans="3:9" ht="13.5">
      <c r="C49" s="93"/>
      <c r="D49" s="93"/>
      <c r="E49" s="94"/>
      <c r="F49" s="89"/>
      <c r="G49" s="89"/>
      <c r="H49" s="89"/>
      <c r="I49" s="93"/>
    </row>
    <row r="50" spans="3:9" ht="13.5">
      <c r="C50" s="93"/>
      <c r="D50" s="93"/>
      <c r="E50" s="94"/>
      <c r="F50" s="89"/>
      <c r="G50" s="89"/>
      <c r="H50" s="89"/>
      <c r="I50" s="93"/>
    </row>
    <row r="51" spans="3:9" ht="13.5">
      <c r="C51" s="93"/>
      <c r="D51" s="93"/>
      <c r="E51" s="94"/>
      <c r="F51" s="89"/>
      <c r="G51" s="89"/>
      <c r="H51" s="89"/>
      <c r="I51" s="93"/>
    </row>
    <row r="52" spans="3:9" ht="13.5">
      <c r="C52" s="93"/>
      <c r="D52" s="93"/>
      <c r="E52" s="94"/>
      <c r="F52" s="89"/>
      <c r="G52" s="89"/>
      <c r="H52" s="89"/>
      <c r="I52" s="93"/>
    </row>
    <row r="53" spans="3:9" ht="13.5">
      <c r="C53" s="93"/>
      <c r="D53" s="93"/>
      <c r="E53" s="94"/>
      <c r="F53" s="89"/>
      <c r="G53" s="89"/>
      <c r="H53" s="89"/>
      <c r="I53" s="93"/>
    </row>
    <row r="54" spans="3:9" ht="13.5">
      <c r="C54" s="93"/>
      <c r="D54" s="93"/>
      <c r="E54" s="94"/>
      <c r="F54" s="89"/>
      <c r="G54" s="89"/>
      <c r="H54" s="89"/>
      <c r="I54" s="93"/>
    </row>
    <row r="55" spans="3:9" ht="13.5">
      <c r="C55" s="93"/>
      <c r="D55" s="93"/>
      <c r="E55" s="94"/>
      <c r="F55" s="89"/>
      <c r="G55" s="89"/>
      <c r="H55" s="89"/>
      <c r="I55" s="93"/>
    </row>
    <row r="56" spans="3:9" ht="13.5">
      <c r="C56" s="201" t="str">
        <f>+CONCATENATE("Sensitivity Analysis of ",C2)</f>
        <v>Sensitivity Analysis of CORN SILAGE, IRRIGATED - CUSTOM HARVEST, CUSTOM BAGGING</v>
      </c>
      <c r="D56" s="201"/>
      <c r="E56" s="201"/>
      <c r="F56" s="201"/>
      <c r="G56" s="201"/>
      <c r="H56" s="201"/>
      <c r="I56" s="201"/>
    </row>
    <row r="57" spans="4:9" ht="14.25" thickBot="1">
      <c r="D57" s="116"/>
      <c r="E57" s="116"/>
      <c r="F57" s="116"/>
      <c r="G57" s="116"/>
      <c r="H57" s="116"/>
      <c r="I57" s="172"/>
    </row>
    <row r="58" spans="3:9" ht="13.5">
      <c r="C58" s="205" t="s">
        <v>350</v>
      </c>
      <c r="D58" s="206"/>
      <c r="E58" s="206"/>
      <c r="F58" s="206"/>
      <c r="G58" s="206"/>
      <c r="H58" s="207"/>
      <c r="I58" s="173"/>
    </row>
    <row r="59" spans="3:9" ht="14.25" thickBot="1">
      <c r="C59" s="208" t="str">
        <f>+CONCATENATE("Varying Prices and Yield ","(",(E7),")")</f>
        <v>Varying Prices and Yield (TONS)</v>
      </c>
      <c r="D59" s="209"/>
      <c r="E59" s="209"/>
      <c r="F59" s="209"/>
      <c r="G59" s="209"/>
      <c r="H59" s="210"/>
      <c r="I59" s="173"/>
    </row>
    <row r="60" spans="3:8" ht="13.5">
      <c r="C60" s="174"/>
      <c r="D60" s="175">
        <v>-0.25</v>
      </c>
      <c r="E60" s="175">
        <v>-0.1</v>
      </c>
      <c r="F60" s="172" t="s">
        <v>351</v>
      </c>
      <c r="G60" s="176" t="s">
        <v>352</v>
      </c>
      <c r="H60" s="177" t="s">
        <v>353</v>
      </c>
    </row>
    <row r="61" spans="3:8" ht="13.5">
      <c r="C61" s="117"/>
      <c r="D61" s="118">
        <f>+F61*0.75</f>
        <v>17.25</v>
      </c>
      <c r="E61" s="118">
        <f>+F61*0.9</f>
        <v>20.7</v>
      </c>
      <c r="F61" s="118">
        <f>+yield</f>
        <v>23</v>
      </c>
      <c r="G61" s="118">
        <f>+F61*1.1</f>
        <v>25.3</v>
      </c>
      <c r="H61" s="119">
        <f>+F61*1.25</f>
        <v>28.75</v>
      </c>
    </row>
    <row r="62" spans="3:8" ht="13.5">
      <c r="C62" s="120">
        <v>20</v>
      </c>
      <c r="D62" s="104">
        <f aca="true" t="shared" si="2" ref="D62:H66">+($C62*D$61)-TVC</f>
        <v>-699.298582571414</v>
      </c>
      <c r="E62" s="104">
        <f t="shared" si="2"/>
        <v>-630.298582571414</v>
      </c>
      <c r="F62" s="104">
        <f t="shared" si="2"/>
        <v>-584.298582571414</v>
      </c>
      <c r="G62" s="104">
        <f t="shared" si="2"/>
        <v>-538.298582571414</v>
      </c>
      <c r="H62" s="121">
        <f t="shared" si="2"/>
        <v>-469.29858257141404</v>
      </c>
    </row>
    <row r="63" spans="3:8" ht="13.5">
      <c r="C63" s="120">
        <v>25</v>
      </c>
      <c r="D63" s="104">
        <f t="shared" si="2"/>
        <v>-613.048582571414</v>
      </c>
      <c r="E63" s="104">
        <f t="shared" si="2"/>
        <v>-526.798582571414</v>
      </c>
      <c r="F63" s="104">
        <f t="shared" si="2"/>
        <v>-469.29858257141404</v>
      </c>
      <c r="G63" s="104">
        <f t="shared" si="2"/>
        <v>-411.79858257141404</v>
      </c>
      <c r="H63" s="121">
        <f t="shared" si="2"/>
        <v>-325.54858257141404</v>
      </c>
    </row>
    <row r="64" spans="3:8" ht="13.5">
      <c r="C64" s="120">
        <v>30</v>
      </c>
      <c r="D64" s="104">
        <f t="shared" si="2"/>
        <v>-526.798582571414</v>
      </c>
      <c r="E64" s="104">
        <f t="shared" si="2"/>
        <v>-423.29858257141404</v>
      </c>
      <c r="F64" s="104">
        <f t="shared" si="2"/>
        <v>-354.29858257141404</v>
      </c>
      <c r="G64" s="104">
        <f t="shared" si="2"/>
        <v>-285.29858257141404</v>
      </c>
      <c r="H64" s="121">
        <f t="shared" si="2"/>
        <v>-181.79858257141404</v>
      </c>
    </row>
    <row r="65" spans="3:8" ht="13.5">
      <c r="C65" s="120">
        <v>35</v>
      </c>
      <c r="D65" s="104">
        <f t="shared" si="2"/>
        <v>-440.54858257141404</v>
      </c>
      <c r="E65" s="104">
        <f t="shared" si="2"/>
        <v>-319.79858257141404</v>
      </c>
      <c r="F65" s="104">
        <f t="shared" si="2"/>
        <v>-239.29858257141404</v>
      </c>
      <c r="G65" s="104">
        <f t="shared" si="2"/>
        <v>-158.79858257141404</v>
      </c>
      <c r="H65" s="121">
        <f t="shared" si="2"/>
        <v>-38.048582571414045</v>
      </c>
    </row>
    <row r="66" spans="3:8" ht="14.25" thickBot="1">
      <c r="C66" s="122">
        <v>40</v>
      </c>
      <c r="D66" s="123">
        <f t="shared" si="2"/>
        <v>-354.29858257141404</v>
      </c>
      <c r="E66" s="123">
        <f t="shared" si="2"/>
        <v>-216.29858257141404</v>
      </c>
      <c r="F66" s="123">
        <f t="shared" si="2"/>
        <v>-124.29858257141404</v>
      </c>
      <c r="G66" s="123">
        <f t="shared" si="2"/>
        <v>-32.298582571414045</v>
      </c>
      <c r="H66" s="124">
        <f t="shared" si="2"/>
        <v>105.70141742858596</v>
      </c>
    </row>
    <row r="67" spans="3:9" ht="13.5">
      <c r="C67" s="125"/>
      <c r="D67" s="125"/>
      <c r="E67" s="125"/>
      <c r="F67" s="125"/>
      <c r="G67" s="125"/>
      <c r="H67" s="125"/>
      <c r="I67" s="126"/>
    </row>
    <row r="68" spans="3:9" s="80" customFormat="1" ht="13.5">
      <c r="C68" s="125"/>
      <c r="D68" s="125"/>
      <c r="E68" s="125"/>
      <c r="F68" s="125"/>
      <c r="G68" s="125"/>
      <c r="H68" s="125"/>
      <c r="I68" s="126"/>
    </row>
    <row r="69" spans="3:9" s="80" customFormat="1" ht="13.5">
      <c r="C69" s="212" t="s">
        <v>415</v>
      </c>
      <c r="D69" s="212"/>
      <c r="E69" s="212"/>
      <c r="F69" s="212"/>
      <c r="G69" s="212"/>
      <c r="H69" s="212"/>
      <c r="I69" s="212"/>
    </row>
    <row r="70" spans="3:9" s="80" customFormat="1" ht="14.25" thickBot="1">
      <c r="C70" s="169"/>
      <c r="D70" s="169"/>
      <c r="E70" s="169"/>
      <c r="F70" s="169"/>
      <c r="G70" s="169"/>
      <c r="H70" s="169"/>
      <c r="I70" s="169"/>
    </row>
    <row r="71" spans="3:9" s="80" customFormat="1" ht="14.25" thickBot="1">
      <c r="C71" s="213" t="s">
        <v>337</v>
      </c>
      <c r="D71" s="214"/>
      <c r="E71" s="214"/>
      <c r="F71" s="214"/>
      <c r="G71" s="214"/>
      <c r="H71" s="214"/>
      <c r="I71" s="215"/>
    </row>
    <row r="72" spans="3:9" s="80" customFormat="1" ht="42.75" customHeight="1" thickBot="1">
      <c r="C72" s="127" t="s">
        <v>336</v>
      </c>
      <c r="D72" s="128" t="s">
        <v>338</v>
      </c>
      <c r="E72" s="129" t="s">
        <v>339</v>
      </c>
      <c r="F72" s="130" t="s">
        <v>340</v>
      </c>
      <c r="G72" s="130" t="s">
        <v>354</v>
      </c>
      <c r="H72" s="130" t="s">
        <v>341</v>
      </c>
      <c r="I72" s="131" t="s">
        <v>342</v>
      </c>
    </row>
    <row r="73" spans="3:9" ht="42" customHeight="1">
      <c r="C73" s="132" t="str">
        <f>+IF(preharvest!B3&lt;&gt;"",CONCATENATE(preharvest!B3," with ",preharvest!K3),"")</f>
        <v>Heavy Disk27' with Tractor (180-199 hp)-MFWD 190</v>
      </c>
      <c r="D73" s="191">
        <f>+IF($C73&lt;&gt;"",1/preharvest!D3,"")</f>
        <v>13.213636363636363</v>
      </c>
      <c r="E73" s="190">
        <f>+IF($C73&lt;&gt;"",preharvest!E3,"")</f>
        <v>1</v>
      </c>
      <c r="F73" s="192">
        <f>+IF($C73&lt;&gt;"",preharvest!F3,"")</f>
        <v>0.07567939456484349</v>
      </c>
      <c r="G73" s="192">
        <f>+IF($C73&lt;&gt;"",preharvest!M3,"")</f>
        <v>0.7401293429652563</v>
      </c>
      <c r="H73" s="193">
        <f>+IF($C73&lt;&gt;"",preharvest!H3+preharvest!O3,"")</f>
        <v>1.4052264102522103</v>
      </c>
      <c r="I73" s="194">
        <f>+IF($C73&lt;&gt;"",preharvest!R3,"")</f>
        <v>4.080726131887453</v>
      </c>
    </row>
    <row r="74" spans="3:9" ht="26.25">
      <c r="C74" s="132" t="str">
        <f>+IF(preharvest!B4&lt;&gt;"",CONCATENATE(preharvest!B4," with ",preharvest!K4),"")</f>
        <v>Disk Harrow32' with Tractor (180-199 hp)-MFWD 190</v>
      </c>
      <c r="D74" s="191">
        <f>+IF($C74&lt;&gt;"",1/preharvest!D4,"")</f>
        <v>16.29090909090909</v>
      </c>
      <c r="E74" s="190">
        <f>+IF($C74&lt;&gt;"",preharvest!E4,"")</f>
        <v>1</v>
      </c>
      <c r="F74" s="192">
        <f>+IF($C74&lt;&gt;"",preharvest!F4,"")</f>
        <v>0.061383928571428575</v>
      </c>
      <c r="G74" s="192">
        <f>+IF($C74&lt;&gt;"",preharvest!M4,"")</f>
        <v>0.6003225446428572</v>
      </c>
      <c r="H74" s="193">
        <f>+IF($C74&lt;&gt;"",preharvest!H4+preharvest!O4,"")</f>
        <v>1.0804311933106576</v>
      </c>
      <c r="I74" s="194">
        <f>+IF($C74&lt;&gt;"",preharvest!R4,"")</f>
        <v>3.13883633087089</v>
      </c>
    </row>
    <row r="75" spans="3:9" ht="26.25">
      <c r="C75" s="132" t="str">
        <f>+IF(preharvest!B5&lt;&gt;"",CONCATENATE(preharvest!B5," with ",preharvest!K5),"")</f>
        <v>Disk Bed (Hipper)8R-30 with Tractor (180-199 hp)-MFWD 190</v>
      </c>
      <c r="D75" s="191">
        <f>+IF($C75&lt;&gt;"",1/preharvest!D5,"")</f>
        <v>10.666666666666666</v>
      </c>
      <c r="E75" s="190">
        <f>+IF($C75&lt;&gt;"",preharvest!E5,"")</f>
        <v>1</v>
      </c>
      <c r="F75" s="192">
        <f>+IF($C75&lt;&gt;"",preharvest!F5,"")</f>
        <v>0.09375</v>
      </c>
      <c r="G75" s="192">
        <f>+IF($C75&lt;&gt;"",preharvest!M5,"")</f>
        <v>0.9168562499999999</v>
      </c>
      <c r="H75" s="193">
        <f>+IF($C75&lt;&gt;"",preharvest!H5+preharvest!O5,"")</f>
        <v>1.0935636160714286</v>
      </c>
      <c r="I75" s="194">
        <f>+IF($C75&lt;&gt;"",preharvest!R5,"")</f>
        <v>3.395817059709821</v>
      </c>
    </row>
    <row r="76" spans="3:9" ht="26.25">
      <c r="C76" s="132" t="str">
        <f>+IF(preharvest!B6&lt;&gt;"",CONCATENATE(preharvest!B6," with ",preharvest!K6),"")</f>
        <v>Plant - Rigid8R-30 with Tractor (120-139 hp)-2WD 130</v>
      </c>
      <c r="D76" s="191">
        <f>+IF($C76&lt;&gt;"",1/preharvest!D6,"")</f>
        <v>10.636363636363637</v>
      </c>
      <c r="E76" s="190">
        <f>+IF($C76&lt;&gt;"",preharvest!E6,"")</f>
        <v>1</v>
      </c>
      <c r="F76" s="192">
        <f>+IF($C76&lt;&gt;"",preharvest!F6,"")</f>
        <v>0.09401709401709402</v>
      </c>
      <c r="G76" s="192">
        <f>+IF($C76&lt;&gt;"",preharvest!M6,"")</f>
        <v>0.6291059829059829</v>
      </c>
      <c r="H76" s="193">
        <f>+IF($C76&lt;&gt;"",preharvest!H6+preharvest!O6,"")</f>
        <v>1.2750967643467643</v>
      </c>
      <c r="I76" s="194">
        <f>+IF($C76&lt;&gt;"",preharvest!R6,"")</f>
        <v>3.5475844094424094</v>
      </c>
    </row>
    <row r="77" spans="3:9" ht="26.25">
      <c r="C77" s="132" t="str">
        <f>+IF(preharvest!B7&lt;&gt;"",CONCATENATE(preharvest!B7," with ",preharvest!K7),"")</f>
        <v>Fert Appl (Liquid)8R-30 with Tractor (120-139 hp)-2WD 130</v>
      </c>
      <c r="D77" s="191">
        <f>+IF($C77&lt;&gt;"",1/preharvest!D7,"")</f>
        <v>10.181818181818182</v>
      </c>
      <c r="E77" s="190">
        <f>+IF($C77&lt;&gt;"",preharvest!E7,"")</f>
        <v>1</v>
      </c>
      <c r="F77" s="192">
        <f>+IF($C77&lt;&gt;"",preharvest!F7,"")</f>
        <v>0.09821428571428571</v>
      </c>
      <c r="G77" s="192">
        <f>+IF($C77&lt;&gt;"",preharvest!M7,"")</f>
        <v>0.6571910714285714</v>
      </c>
      <c r="H77" s="193">
        <f>+IF($C77&lt;&gt;"",preharvest!H7+preharvest!O7,"")</f>
        <v>1.3833786139455784</v>
      </c>
      <c r="I77" s="194">
        <f>+IF($C77&lt;&gt;"",preharvest!R7,"")</f>
        <v>2.8429539753401363</v>
      </c>
    </row>
    <row r="78" spans="3:9" ht="26.25">
      <c r="C78" s="132" t="str">
        <f>+IF(preharvest!B8&lt;&gt;"",CONCATENATE(preharvest!B8," with ",preharvest!K8),"")</f>
        <v>Spray (Broadcast)60' with Tractor (120-139 hp)-2WD 130</v>
      </c>
      <c r="D78" s="191">
        <f>+IF($C78&lt;&gt;"",1/preharvest!D8,"")</f>
        <v>35.45454545454545</v>
      </c>
      <c r="E78" s="190">
        <f>+IF($C78&lt;&gt;"",preharvest!E8,"")</f>
        <v>1</v>
      </c>
      <c r="F78" s="192">
        <f>+IF($C78&lt;&gt;"",preharvest!F8,"")</f>
        <v>0.028205128205128206</v>
      </c>
      <c r="G78" s="192">
        <f>+IF($C78&lt;&gt;"",preharvest!M8,"")</f>
        <v>0.18873179487179487</v>
      </c>
      <c r="H78" s="193">
        <f>+IF($C78&lt;&gt;"",preharvest!H8+preharvest!O8,"")</f>
        <v>0.2447196543040293</v>
      </c>
      <c r="I78" s="194">
        <f>+IF($C78&lt;&gt;"",preharvest!R8,"")</f>
        <v>0.5904823262515262</v>
      </c>
    </row>
    <row r="79" spans="3:9" ht="14.25" thickBot="1">
      <c r="C79" s="132">
        <f>+IF(preharvest!B17&lt;&gt;"",CONCATENATE(preharvest!B17," with ",preharvest!K17),"")</f>
      </c>
      <c r="D79" s="133">
        <f>+IF($C79&lt;&gt;"",1/preharvest!D17,"")</f>
      </c>
      <c r="E79" s="103">
        <f>+IF($C79&lt;&gt;"",preharvest!E17,"")</f>
      </c>
      <c r="F79" s="103">
        <f>+IF($C79&lt;&gt;"",preharvest!F17,"")</f>
      </c>
      <c r="G79" s="103">
        <f>+IF($C79&lt;&gt;"",preharvest!M17,"")</f>
      </c>
      <c r="H79" s="103">
        <f>+IF($C79&lt;&gt;"",preharvest!H17+preharvest!O17,"")</f>
      </c>
      <c r="I79" s="134">
        <f>+IF($C79&lt;&gt;"",preharvest!R17,"")</f>
      </c>
    </row>
    <row r="80" spans="3:9" s="185" customFormat="1" ht="27" customHeight="1" thickBot="1">
      <c r="C80" s="203" t="s">
        <v>343</v>
      </c>
      <c r="D80" s="204"/>
      <c r="E80" s="204"/>
      <c r="F80" s="195">
        <f>+SUM(F73:F79)</f>
        <v>0.45124983107278</v>
      </c>
      <c r="G80" s="195">
        <f>+SUM(G73:G79)</f>
        <v>3.7323369868144622</v>
      </c>
      <c r="H80" s="196">
        <f>+SUM(H73:H79)</f>
        <v>6.482416252230669</v>
      </c>
      <c r="I80" s="197">
        <f>+SUM(I73:I79)</f>
        <v>17.596400233502234</v>
      </c>
    </row>
    <row r="81" spans="3:9" ht="13.5">
      <c r="C81" s="112"/>
      <c r="D81" s="135"/>
      <c r="E81" s="94"/>
      <c r="F81" s="136"/>
      <c r="G81" s="89"/>
      <c r="H81" s="89"/>
      <c r="I81" s="89"/>
    </row>
    <row r="82" spans="3:9" ht="13.5">
      <c r="C82" s="200" t="s">
        <v>431</v>
      </c>
      <c r="D82" s="200"/>
      <c r="E82" s="200"/>
      <c r="F82" s="200"/>
      <c r="G82" s="200"/>
      <c r="H82" s="200"/>
      <c r="I82" s="200"/>
    </row>
    <row r="83" spans="3:9" ht="13.5" customHeight="1">
      <c r="C83" s="200"/>
      <c r="D83" s="200"/>
      <c r="E83" s="200"/>
      <c r="F83" s="200"/>
      <c r="G83" s="200"/>
      <c r="H83" s="200"/>
      <c r="I83" s="200"/>
    </row>
    <row r="84" spans="3:9" ht="13.5">
      <c r="C84" s="200"/>
      <c r="D84" s="200"/>
      <c r="E84" s="200"/>
      <c r="F84" s="200"/>
      <c r="G84" s="200"/>
      <c r="H84" s="200"/>
      <c r="I84" s="200"/>
    </row>
    <row r="85" spans="3:9" ht="13.5" customHeight="1">
      <c r="C85" s="200" t="s">
        <v>432</v>
      </c>
      <c r="D85" s="200"/>
      <c r="E85" s="200"/>
      <c r="F85" s="200"/>
      <c r="G85" s="200"/>
      <c r="H85" s="200"/>
      <c r="I85" s="200"/>
    </row>
    <row r="86" spans="3:9" ht="13.5">
      <c r="C86" s="200"/>
      <c r="D86" s="200"/>
      <c r="E86" s="200"/>
      <c r="F86" s="200"/>
      <c r="G86" s="200"/>
      <c r="H86" s="200"/>
      <c r="I86" s="200"/>
    </row>
    <row r="87" spans="3:9" ht="13.5">
      <c r="C87" s="200"/>
      <c r="D87" s="200"/>
      <c r="E87" s="200"/>
      <c r="F87" s="200"/>
      <c r="G87" s="200"/>
      <c r="H87" s="200"/>
      <c r="I87" s="200"/>
    </row>
    <row r="88" spans="3:9" ht="13.5">
      <c r="C88" s="93"/>
      <c r="D88" s="93"/>
      <c r="E88" s="94"/>
      <c r="F88" s="89"/>
      <c r="G88" s="89"/>
      <c r="H88" s="89"/>
      <c r="I88" s="93"/>
    </row>
  </sheetData>
  <mergeCells count="14">
    <mergeCell ref="C59:H59"/>
    <mergeCell ref="C47:I48"/>
    <mergeCell ref="C69:I69"/>
    <mergeCell ref="C71:I71"/>
    <mergeCell ref="C85:I87"/>
    <mergeCell ref="C82:I84"/>
    <mergeCell ref="C2:I2"/>
    <mergeCell ref="C3:I3"/>
    <mergeCell ref="C4:I4"/>
    <mergeCell ref="C5:I5"/>
    <mergeCell ref="C35:D35"/>
    <mergeCell ref="C80:E80"/>
    <mergeCell ref="C56:I56"/>
    <mergeCell ref="C58:H58"/>
  </mergeCells>
  <conditionalFormatting sqref="D62:H66">
    <cfRule type="cellIs" priority="1" dxfId="0" operator="greaterThanOrEqual" stopIfTrue="1">
      <formula>0</formula>
    </cfRule>
  </conditionalFormatting>
  <hyperlinks>
    <hyperlink ref="B13" location="Fertilizer!A3" display="Fertilizer Detail"/>
    <hyperlink ref="B18" location="'Insect and Weed'!A3" display="Weed  Detail"/>
    <hyperlink ref="B19" location="'Insect and Weed'!B18" display="Insect  Detail"/>
    <hyperlink ref="B20" location="preharvest!A1" display="Preharvest Machinery Detail"/>
  </hyperlinks>
  <printOptions/>
  <pageMargins left="0.75" right="0.75" top="0.75" bottom="0.75" header="0.5" footer="0.5"/>
  <pageSetup fitToHeight="2" horizontalDpi="600" verticalDpi="600" orientation="portrait" scale="82" r:id="rId4"/>
  <headerFooter alignWithMargins="0">
    <oddFooter>&amp;LUGA Extension Agricultural and Applied Economics  4/2007</oddFooter>
  </headerFooter>
  <rowBreaks count="1" manualBreakCount="1">
    <brk id="55" min="2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"/>
  <sheetViews>
    <sheetView workbookViewId="0" topLeftCell="A1">
      <selection activeCell="H2" sqref="H2:J2"/>
    </sheetView>
  </sheetViews>
  <sheetFormatPr defaultColWidth="9.140625" defaultRowHeight="12.75"/>
  <cols>
    <col min="5" max="5" width="9.140625" style="2" customWidth="1"/>
    <col min="6" max="6" width="10.00390625" style="2" customWidth="1"/>
    <col min="7" max="7" width="9.140625" style="2" customWidth="1"/>
  </cols>
  <sheetData>
    <row r="2" spans="2:10" ht="13.5" thickBot="1">
      <c r="B2" s="201" t="s">
        <v>28</v>
      </c>
      <c r="C2" s="201"/>
      <c r="D2" s="201"/>
      <c r="E2" s="201"/>
      <c r="F2" s="201"/>
      <c r="G2" s="201"/>
      <c r="H2" s="216" t="s">
        <v>26</v>
      </c>
      <c r="I2" s="216"/>
      <c r="J2" s="216"/>
    </row>
    <row r="3" spans="2:8" ht="26.25" thickBot="1">
      <c r="B3" s="10" t="s">
        <v>0</v>
      </c>
      <c r="C3" s="10" t="s">
        <v>1</v>
      </c>
      <c r="D3" s="11" t="s">
        <v>2</v>
      </c>
      <c r="E3" s="12" t="s">
        <v>3</v>
      </c>
      <c r="F3" s="12" t="s">
        <v>4</v>
      </c>
      <c r="G3" s="12" t="s">
        <v>5</v>
      </c>
      <c r="H3" s="1" t="s">
        <v>6</v>
      </c>
    </row>
    <row r="4" spans="2:7" ht="12.75">
      <c r="B4" s="13" t="s">
        <v>16</v>
      </c>
      <c r="C4" s="14" t="s">
        <v>17</v>
      </c>
      <c r="D4" s="14">
        <v>225</v>
      </c>
      <c r="E4" s="15">
        <v>0.75</v>
      </c>
      <c r="F4" s="15">
        <f>+E4*D4</f>
        <v>168.75</v>
      </c>
      <c r="G4" s="16">
        <f aca="true" t="shared" si="0" ref="G4:G10">+F4/yield</f>
        <v>7.336956521739131</v>
      </c>
    </row>
    <row r="5" spans="2:7" ht="12.75">
      <c r="B5" s="13" t="s">
        <v>18</v>
      </c>
      <c r="C5" s="14" t="s">
        <v>17</v>
      </c>
      <c r="D5" s="14">
        <v>90</v>
      </c>
      <c r="E5" s="15">
        <v>0.9</v>
      </c>
      <c r="F5" s="15">
        <f>+E5*D5</f>
        <v>81</v>
      </c>
      <c r="G5" s="16">
        <f t="shared" si="0"/>
        <v>3.5217391304347827</v>
      </c>
    </row>
    <row r="6" spans="2:7" ht="12.75">
      <c r="B6" s="13" t="s">
        <v>19</v>
      </c>
      <c r="C6" s="14" t="s">
        <v>17</v>
      </c>
      <c r="D6" s="14">
        <v>125</v>
      </c>
      <c r="E6" s="15">
        <v>0.6</v>
      </c>
      <c r="F6" s="15">
        <f>+E6*D6</f>
        <v>75</v>
      </c>
      <c r="G6" s="16">
        <f t="shared" si="0"/>
        <v>3.260869565217391</v>
      </c>
    </row>
    <row r="7" spans="2:7" ht="12.75">
      <c r="B7" s="13" t="s">
        <v>20</v>
      </c>
      <c r="C7" s="14" t="s">
        <v>21</v>
      </c>
      <c r="D7" s="14">
        <v>0.5</v>
      </c>
      <c r="E7" s="15">
        <v>35</v>
      </c>
      <c r="F7" s="15">
        <f>+E7*D7</f>
        <v>17.5</v>
      </c>
      <c r="G7" s="16">
        <f t="shared" si="0"/>
        <v>0.7608695652173914</v>
      </c>
    </row>
    <row r="8" spans="2:7" ht="12.75">
      <c r="B8" s="13" t="s">
        <v>22</v>
      </c>
      <c r="C8" s="14"/>
      <c r="D8" s="14"/>
      <c r="E8" s="15"/>
      <c r="F8" s="15"/>
      <c r="G8" s="16">
        <f t="shared" si="0"/>
        <v>0</v>
      </c>
    </row>
    <row r="9" spans="2:7" ht="12.75">
      <c r="B9" s="13" t="s">
        <v>22</v>
      </c>
      <c r="C9" s="14"/>
      <c r="D9" s="14"/>
      <c r="E9" s="15"/>
      <c r="F9" s="15"/>
      <c r="G9" s="16">
        <f t="shared" si="0"/>
        <v>0</v>
      </c>
    </row>
    <row r="10" spans="2:7" ht="13.5" thickBot="1">
      <c r="B10" s="17" t="s">
        <v>22</v>
      </c>
      <c r="C10" s="5"/>
      <c r="D10" s="5"/>
      <c r="E10" s="6"/>
      <c r="F10" s="6"/>
      <c r="G10" s="18">
        <f t="shared" si="0"/>
        <v>0</v>
      </c>
    </row>
    <row r="11" spans="2:7" ht="12.75">
      <c r="B11" s="7" t="s">
        <v>23</v>
      </c>
      <c r="C11" s="4"/>
      <c r="D11" s="4"/>
      <c r="E11" s="8"/>
      <c r="F11" s="8">
        <f>+SUM(F4:F10)</f>
        <v>342.25</v>
      </c>
      <c r="G11" s="8">
        <f>+SUM(G4:G10)</f>
        <v>14.880434782608695</v>
      </c>
    </row>
  </sheetData>
  <mergeCells count="2">
    <mergeCell ref="H2:J2"/>
    <mergeCell ref="B2:G2"/>
  </mergeCells>
  <hyperlinks>
    <hyperlink ref="H2:J2" location="Main!B6" display="Return to Main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5"/>
  <sheetViews>
    <sheetView workbookViewId="0" topLeftCell="A1">
      <selection activeCell="H2" sqref="H2:J2"/>
    </sheetView>
  </sheetViews>
  <sheetFormatPr defaultColWidth="9.140625" defaultRowHeight="12.75"/>
  <cols>
    <col min="2" max="2" width="16.00390625" style="0" bestFit="1" customWidth="1"/>
    <col min="6" max="6" width="10.421875" style="0" customWidth="1"/>
  </cols>
  <sheetData>
    <row r="2" spans="2:10" ht="13.5" thickBot="1">
      <c r="B2" s="201" t="s">
        <v>29</v>
      </c>
      <c r="C2" s="201"/>
      <c r="D2" s="201"/>
      <c r="E2" s="201"/>
      <c r="F2" s="201"/>
      <c r="G2" s="201"/>
      <c r="H2" s="216" t="s">
        <v>26</v>
      </c>
      <c r="I2" s="216"/>
      <c r="J2" s="216"/>
    </row>
    <row r="3" spans="2:8" ht="26.25" thickBot="1">
      <c r="B3" s="10" t="s">
        <v>0</v>
      </c>
      <c r="C3" s="10" t="s">
        <v>1</v>
      </c>
      <c r="D3" s="11" t="s">
        <v>2</v>
      </c>
      <c r="E3" s="12" t="s">
        <v>3</v>
      </c>
      <c r="F3" s="12" t="s">
        <v>4</v>
      </c>
      <c r="G3" s="12" t="s">
        <v>5</v>
      </c>
      <c r="H3" s="1" t="s">
        <v>6</v>
      </c>
    </row>
    <row r="4" spans="2:7" ht="12.75">
      <c r="B4" s="13" t="s">
        <v>31</v>
      </c>
      <c r="C4" s="14" t="s">
        <v>34</v>
      </c>
      <c r="D4" s="85">
        <v>0.67</v>
      </c>
      <c r="E4" s="15">
        <v>32</v>
      </c>
      <c r="F4" s="15">
        <f aca="true" t="shared" si="0" ref="F4:F10">+E4*D4</f>
        <v>21.44</v>
      </c>
      <c r="G4" s="16">
        <f aca="true" t="shared" si="1" ref="G4:G10">+F4/yield</f>
        <v>0.9321739130434783</v>
      </c>
    </row>
    <row r="5" spans="2:7" ht="12.75">
      <c r="B5" s="13" t="s">
        <v>30</v>
      </c>
      <c r="C5" s="14" t="s">
        <v>371</v>
      </c>
      <c r="D5" s="14">
        <v>1.5</v>
      </c>
      <c r="E5" s="15">
        <v>2.25</v>
      </c>
      <c r="F5" s="15">
        <f t="shared" si="0"/>
        <v>3.375</v>
      </c>
      <c r="G5" s="16">
        <f t="shared" si="1"/>
        <v>0.14673913043478262</v>
      </c>
    </row>
    <row r="6" spans="2:7" ht="12.75">
      <c r="B6" s="13" t="s">
        <v>370</v>
      </c>
      <c r="C6" s="14" t="s">
        <v>33</v>
      </c>
      <c r="D6" s="14"/>
      <c r="E6" s="15">
        <v>2.5</v>
      </c>
      <c r="F6" s="15">
        <f t="shared" si="0"/>
        <v>0</v>
      </c>
      <c r="G6" s="16">
        <f t="shared" si="1"/>
        <v>0</v>
      </c>
    </row>
    <row r="7" spans="2:7" ht="12.75">
      <c r="B7" s="13" t="s">
        <v>372</v>
      </c>
      <c r="C7" s="92" t="s">
        <v>371</v>
      </c>
      <c r="D7" s="14"/>
      <c r="E7" s="15">
        <v>4.25</v>
      </c>
      <c r="F7" s="15">
        <f t="shared" si="0"/>
        <v>0</v>
      </c>
      <c r="G7" s="16">
        <f t="shared" si="1"/>
        <v>0</v>
      </c>
    </row>
    <row r="8" spans="2:7" ht="12.75">
      <c r="B8" s="13" t="s">
        <v>410</v>
      </c>
      <c r="C8" s="14"/>
      <c r="D8" s="14"/>
      <c r="E8" s="15"/>
      <c r="F8" s="15">
        <f t="shared" si="0"/>
        <v>0</v>
      </c>
      <c r="G8" s="16">
        <f t="shared" si="1"/>
        <v>0</v>
      </c>
    </row>
    <row r="9" spans="2:7" ht="12.75">
      <c r="B9" s="13" t="s">
        <v>414</v>
      </c>
      <c r="C9" s="14"/>
      <c r="D9" s="14"/>
      <c r="E9" s="15"/>
      <c r="F9" s="15">
        <f t="shared" si="0"/>
        <v>0</v>
      </c>
      <c r="G9" s="16">
        <f t="shared" si="1"/>
        <v>0</v>
      </c>
    </row>
    <row r="10" spans="2:7" ht="13.5" thickBot="1">
      <c r="B10" s="17" t="s">
        <v>22</v>
      </c>
      <c r="C10" s="5"/>
      <c r="D10" s="5"/>
      <c r="E10" s="6"/>
      <c r="F10" s="6">
        <f t="shared" si="0"/>
        <v>0</v>
      </c>
      <c r="G10" s="18">
        <f t="shared" si="1"/>
        <v>0</v>
      </c>
    </row>
    <row r="11" spans="2:7" ht="12.75">
      <c r="B11" s="7" t="s">
        <v>32</v>
      </c>
      <c r="C11" s="4"/>
      <c r="D11" s="4"/>
      <c r="E11" s="8"/>
      <c r="F11" s="8">
        <f>+SUM(F4:F10)</f>
        <v>24.815</v>
      </c>
      <c r="G11" s="8">
        <f>+SUM(G4:G10)</f>
        <v>1.078913043478261</v>
      </c>
    </row>
    <row r="16" spans="2:7" ht="13.5" thickBot="1">
      <c r="B16" s="201" t="s">
        <v>35</v>
      </c>
      <c r="C16" s="201"/>
      <c r="D16" s="201"/>
      <c r="E16" s="201"/>
      <c r="F16" s="201"/>
      <c r="G16" s="201"/>
    </row>
    <row r="17" spans="2:7" ht="26.25" thickBot="1">
      <c r="B17" s="10" t="s">
        <v>0</v>
      </c>
      <c r="C17" s="10" t="s">
        <v>1</v>
      </c>
      <c r="D17" s="11" t="s">
        <v>2</v>
      </c>
      <c r="E17" s="12" t="s">
        <v>3</v>
      </c>
      <c r="F17" s="12" t="s">
        <v>4</v>
      </c>
      <c r="G17" s="12" t="s">
        <v>5</v>
      </c>
    </row>
    <row r="18" spans="2:7" ht="12.75">
      <c r="B18" s="13" t="s">
        <v>400</v>
      </c>
      <c r="C18" s="14" t="s">
        <v>442</v>
      </c>
      <c r="D18" s="14">
        <v>27.5</v>
      </c>
      <c r="E18" s="199">
        <v>0.2375</v>
      </c>
      <c r="F18" s="15">
        <f aca="true" t="shared" si="2" ref="F18:F24">+E18*D18</f>
        <v>6.53125</v>
      </c>
      <c r="G18" s="16">
        <f aca="true" t="shared" si="3" ref="G18:G24">+F18/yield</f>
        <v>0.28396739130434784</v>
      </c>
    </row>
    <row r="19" spans="2:7" ht="12.75">
      <c r="B19" s="13" t="s">
        <v>22</v>
      </c>
      <c r="C19" s="14"/>
      <c r="D19" s="14"/>
      <c r="E19" s="15"/>
      <c r="F19" s="15">
        <f t="shared" si="2"/>
        <v>0</v>
      </c>
      <c r="G19" s="16">
        <f t="shared" si="3"/>
        <v>0</v>
      </c>
    </row>
    <row r="20" spans="2:7" ht="12.75">
      <c r="B20" s="13" t="s">
        <v>22</v>
      </c>
      <c r="C20" s="14"/>
      <c r="D20" s="14"/>
      <c r="E20" s="15"/>
      <c r="F20" s="15">
        <f t="shared" si="2"/>
        <v>0</v>
      </c>
      <c r="G20" s="16">
        <f t="shared" si="3"/>
        <v>0</v>
      </c>
    </row>
    <row r="21" spans="2:7" ht="12.75">
      <c r="B21" s="13" t="s">
        <v>22</v>
      </c>
      <c r="C21" s="14"/>
      <c r="D21" s="14"/>
      <c r="E21" s="15"/>
      <c r="F21" s="15">
        <f t="shared" si="2"/>
        <v>0</v>
      </c>
      <c r="G21" s="16">
        <f t="shared" si="3"/>
        <v>0</v>
      </c>
    </row>
    <row r="22" spans="2:7" ht="12.75">
      <c r="B22" s="13" t="s">
        <v>22</v>
      </c>
      <c r="C22" s="14"/>
      <c r="D22" s="14"/>
      <c r="E22" s="15"/>
      <c r="F22" s="15">
        <f t="shared" si="2"/>
        <v>0</v>
      </c>
      <c r="G22" s="16">
        <f t="shared" si="3"/>
        <v>0</v>
      </c>
    </row>
    <row r="23" spans="2:7" ht="12.75">
      <c r="B23" s="13" t="s">
        <v>22</v>
      </c>
      <c r="C23" s="14"/>
      <c r="D23" s="14"/>
      <c r="E23" s="15"/>
      <c r="F23" s="15">
        <f t="shared" si="2"/>
        <v>0</v>
      </c>
      <c r="G23" s="16">
        <f t="shared" si="3"/>
        <v>0</v>
      </c>
    </row>
    <row r="24" spans="2:7" ht="13.5" thickBot="1">
      <c r="B24" s="17" t="s">
        <v>22</v>
      </c>
      <c r="C24" s="5"/>
      <c r="D24" s="5"/>
      <c r="E24" s="6"/>
      <c r="F24" s="6">
        <f t="shared" si="2"/>
        <v>0</v>
      </c>
      <c r="G24" s="18">
        <f t="shared" si="3"/>
        <v>0</v>
      </c>
    </row>
    <row r="25" spans="2:7" ht="12.75">
      <c r="B25" s="7" t="s">
        <v>36</v>
      </c>
      <c r="C25" s="4"/>
      <c r="D25" s="4"/>
      <c r="E25" s="8"/>
      <c r="F25" s="8">
        <f>+SUM(F18:F24)</f>
        <v>6.53125</v>
      </c>
      <c r="G25" s="8">
        <f>+SUM(G18:G24)</f>
        <v>0.28396739130434784</v>
      </c>
    </row>
  </sheetData>
  <mergeCells count="3">
    <mergeCell ref="B2:G2"/>
    <mergeCell ref="H2:J2"/>
    <mergeCell ref="B16:G16"/>
  </mergeCells>
  <hyperlinks>
    <hyperlink ref="H2:J2" location="Main!B6" display="Return to Main Page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5.00390625" style="21" customWidth="1"/>
    <col min="2" max="2" width="34.28125" style="21" customWidth="1"/>
    <col min="3" max="3" width="18.7109375" style="21" customWidth="1"/>
    <col min="4" max="6" width="10.28125" style="21" customWidth="1"/>
    <col min="7" max="7" width="11.28125" style="44" customWidth="1"/>
    <col min="8" max="8" width="10.28125" style="44" customWidth="1"/>
    <col min="9" max="9" width="23.7109375" style="21" customWidth="1"/>
    <col min="10" max="10" width="14.421875" style="22" customWidth="1"/>
    <col min="11" max="11" width="22.28125" style="22" customWidth="1"/>
    <col min="12" max="12" width="15.28125" style="44" customWidth="1"/>
    <col min="13" max="13" width="10.28125" style="44" customWidth="1"/>
    <col min="14" max="15" width="10.28125" style="21" customWidth="1"/>
    <col min="16" max="16" width="15.00390625" style="21" customWidth="1"/>
    <col min="17" max="18" width="15.421875" style="21" customWidth="1"/>
    <col min="19" max="16384" width="10.28125" style="21" customWidth="1"/>
  </cols>
  <sheetData>
    <row r="1" spans="1:13" ht="15.75">
      <c r="A1" s="9" t="s">
        <v>335</v>
      </c>
      <c r="B1" s="217" t="s">
        <v>368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8" s="19" customFormat="1" ht="47.25">
      <c r="B2" s="19" t="s">
        <v>39</v>
      </c>
      <c r="C2" s="19" t="s">
        <v>40</v>
      </c>
      <c r="D2" s="43" t="s">
        <v>344</v>
      </c>
      <c r="E2" s="19" t="s">
        <v>42</v>
      </c>
      <c r="F2" s="19" t="s">
        <v>43</v>
      </c>
      <c r="G2" s="59" t="s">
        <v>148</v>
      </c>
      <c r="H2" s="59" t="s">
        <v>149</v>
      </c>
      <c r="I2" s="59" t="s">
        <v>321</v>
      </c>
      <c r="J2" s="59" t="s">
        <v>327</v>
      </c>
      <c r="K2" s="43" t="s">
        <v>285</v>
      </c>
      <c r="L2" s="20" t="s">
        <v>44</v>
      </c>
      <c r="M2" s="20" t="s">
        <v>45</v>
      </c>
      <c r="N2" s="59" t="s">
        <v>148</v>
      </c>
      <c r="O2" s="59" t="s">
        <v>149</v>
      </c>
      <c r="P2" s="69" t="s">
        <v>324</v>
      </c>
      <c r="Q2" s="69" t="s">
        <v>325</v>
      </c>
      <c r="R2" s="43" t="s">
        <v>330</v>
      </c>
    </row>
    <row r="3" spans="1:18" ht="15.75">
      <c r="A3" s="218" t="s">
        <v>166</v>
      </c>
      <c r="B3" s="21" t="s">
        <v>420</v>
      </c>
      <c r="C3" s="21" t="str">
        <f aca="true" t="shared" si="0" ref="C3:C17">+IF(B3&gt;0,VLOOKUP($B3,preharvest_implement_info,3),0)</f>
        <v>27'</v>
      </c>
      <c r="D3" s="21">
        <f aca="true" t="shared" si="1" ref="D3:D17">+IF(C3&gt;0,VLOOKUP($B3,preharvest_implement_info,7),0)</f>
        <v>0.07567939456484349</v>
      </c>
      <c r="E3" s="21">
        <v>1</v>
      </c>
      <c r="F3" s="21">
        <f>+E3*D3</f>
        <v>0.07567939456484349</v>
      </c>
      <c r="G3" s="44">
        <f aca="true" t="shared" si="2" ref="G3:G17">+IF(F3&gt;0,VLOOKUP($B3,preharvest_implement_info,21),0)</f>
        <v>9.952222222222222</v>
      </c>
      <c r="H3" s="44">
        <f>+G3*F3</f>
        <v>0.753178152352559</v>
      </c>
      <c r="I3" s="44">
        <f aca="true" t="shared" si="3" ref="I3:I17">+IF(H3&gt;0,VLOOKUP($B3,preharvest_implement_info,28),0)</f>
        <v>28.682304444444444</v>
      </c>
      <c r="J3" s="44">
        <f>+I3*F3</f>
        <v>2.170659435080075</v>
      </c>
      <c r="K3" s="21" t="s">
        <v>408</v>
      </c>
      <c r="L3" s="22">
        <f aca="true" t="shared" si="4" ref="L3:L17">+IF(K3&gt;0,VLOOKUP($K3,tractor_combine_data,4),0)</f>
        <v>9.7798</v>
      </c>
      <c r="M3" s="22">
        <f aca="true" t="shared" si="5" ref="M3:M17">+L3*F3</f>
        <v>0.7401293429652563</v>
      </c>
      <c r="N3" s="44">
        <f aca="true" t="shared" si="6" ref="N3:N17">+IF(M3&gt;0,VLOOKUP($K3,tractor_combine_data,11),0)</f>
        <v>8.615928571428572</v>
      </c>
      <c r="O3" s="44">
        <f aca="true" t="shared" si="7" ref="O3:O17">+N3*F3</f>
        <v>0.6520482578996513</v>
      </c>
      <c r="P3" s="44">
        <f aca="true" t="shared" si="8" ref="P3:P17">+IF(H3&gt;0,VLOOKUP($K3,tractor_combine_data,21),0)</f>
        <v>25.23892676190476</v>
      </c>
      <c r="Q3" s="2">
        <f>+P3*F3</f>
        <v>1.910066696807378</v>
      </c>
      <c r="R3" s="44">
        <f>+Q3+J3</f>
        <v>4.080726131887453</v>
      </c>
    </row>
    <row r="4" spans="1:18" ht="15.75">
      <c r="A4" s="218"/>
      <c r="B4" s="21" t="s">
        <v>407</v>
      </c>
      <c r="C4" s="21" t="str">
        <f t="shared" si="0"/>
        <v>32'</v>
      </c>
      <c r="D4" s="21">
        <f t="shared" si="1"/>
        <v>0.061383928571428575</v>
      </c>
      <c r="E4" s="21">
        <v>1</v>
      </c>
      <c r="F4" s="21">
        <f aca="true" t="shared" si="9" ref="F4:F17">+E4*D4</f>
        <v>0.061383928571428575</v>
      </c>
      <c r="G4" s="44">
        <f t="shared" si="2"/>
        <v>8.985277777777778</v>
      </c>
      <c r="H4" s="44">
        <f aca="true" t="shared" si="10" ref="H4:H17">+G4*F4</f>
        <v>0.5515516493055556</v>
      </c>
      <c r="I4" s="44">
        <f t="shared" si="3"/>
        <v>25.895570555555555</v>
      </c>
      <c r="J4" s="44">
        <f aca="true" t="shared" si="11" ref="J4:J17">+I4*F4</f>
        <v>1.5895718532986112</v>
      </c>
      <c r="K4" s="21" t="s">
        <v>408</v>
      </c>
      <c r="L4" s="22">
        <f t="shared" si="4"/>
        <v>9.7798</v>
      </c>
      <c r="M4" s="22">
        <f t="shared" si="5"/>
        <v>0.6003225446428572</v>
      </c>
      <c r="N4" s="44">
        <f t="shared" si="6"/>
        <v>8.615928571428572</v>
      </c>
      <c r="O4" s="44">
        <f t="shared" si="7"/>
        <v>0.5288795440051022</v>
      </c>
      <c r="P4" s="44">
        <f t="shared" si="8"/>
        <v>25.23892676190476</v>
      </c>
      <c r="Q4" s="2">
        <f aca="true" t="shared" si="12" ref="Q4:Q18">+P4*F4</f>
        <v>1.549264477572279</v>
      </c>
      <c r="R4" s="44">
        <f aca="true" t="shared" si="13" ref="R4:R17">+Q4+J4</f>
        <v>3.13883633087089</v>
      </c>
    </row>
    <row r="5" spans="1:18" ht="15.75">
      <c r="A5" s="218"/>
      <c r="B5" s="21" t="s">
        <v>439</v>
      </c>
      <c r="C5" s="21" t="str">
        <f t="shared" si="0"/>
        <v>8R-30</v>
      </c>
      <c r="D5" s="21">
        <f t="shared" si="1"/>
        <v>0.09375</v>
      </c>
      <c r="E5" s="21">
        <v>1</v>
      </c>
      <c r="F5" s="21">
        <f t="shared" si="9"/>
        <v>0.09375</v>
      </c>
      <c r="G5" s="44">
        <f t="shared" si="2"/>
        <v>3.04875</v>
      </c>
      <c r="H5" s="44">
        <f t="shared" si="10"/>
        <v>0.2858203125</v>
      </c>
      <c r="I5" s="44">
        <f t="shared" si="3"/>
        <v>10.983121875</v>
      </c>
      <c r="J5" s="44">
        <f t="shared" si="11"/>
        <v>1.02966767578125</v>
      </c>
      <c r="K5" s="21" t="s">
        <v>408</v>
      </c>
      <c r="L5" s="22">
        <f t="shared" si="4"/>
        <v>9.7798</v>
      </c>
      <c r="M5" s="22">
        <f t="shared" si="5"/>
        <v>0.9168562499999999</v>
      </c>
      <c r="N5" s="44">
        <f t="shared" si="6"/>
        <v>8.615928571428572</v>
      </c>
      <c r="O5" s="44">
        <f t="shared" si="7"/>
        <v>0.8077433035714287</v>
      </c>
      <c r="P5" s="44">
        <f t="shared" si="8"/>
        <v>25.23892676190476</v>
      </c>
      <c r="Q5" s="2">
        <f t="shared" si="12"/>
        <v>2.366149383928571</v>
      </c>
      <c r="R5" s="44">
        <f t="shared" si="13"/>
        <v>3.395817059709821</v>
      </c>
    </row>
    <row r="6" spans="1:18" ht="15.75">
      <c r="A6" s="218"/>
      <c r="B6" s="21" t="s">
        <v>440</v>
      </c>
      <c r="C6" s="21" t="str">
        <f t="shared" si="0"/>
        <v>8R-30</v>
      </c>
      <c r="D6" s="21">
        <f t="shared" si="1"/>
        <v>0.09401709401709402</v>
      </c>
      <c r="E6" s="21">
        <v>1</v>
      </c>
      <c r="F6" s="21">
        <f t="shared" si="9"/>
        <v>0.09401709401709402</v>
      </c>
      <c r="G6" s="44">
        <f t="shared" si="2"/>
        <v>8.39175</v>
      </c>
      <c r="H6" s="44">
        <f t="shared" si="10"/>
        <v>0.7889679487179487</v>
      </c>
      <c r="I6" s="44">
        <f t="shared" si="3"/>
        <v>22.58686133333333</v>
      </c>
      <c r="J6" s="44">
        <f t="shared" si="11"/>
        <v>2.1235510655270655</v>
      </c>
      <c r="K6" s="21" t="s">
        <v>413</v>
      </c>
      <c r="L6" s="22">
        <f t="shared" si="4"/>
        <v>6.6914</v>
      </c>
      <c r="M6" s="22">
        <f t="shared" si="5"/>
        <v>0.6291059829059829</v>
      </c>
      <c r="N6" s="44">
        <f t="shared" si="6"/>
        <v>5.170642857142857</v>
      </c>
      <c r="O6" s="44">
        <f t="shared" si="7"/>
        <v>0.4861288156288156</v>
      </c>
      <c r="P6" s="44">
        <f t="shared" si="8"/>
        <v>15.146536476190477</v>
      </c>
      <c r="Q6" s="2">
        <f t="shared" si="12"/>
        <v>1.4240333439153439</v>
      </c>
      <c r="R6" s="44">
        <f t="shared" si="13"/>
        <v>3.5475844094424094</v>
      </c>
    </row>
    <row r="7" spans="1:18" ht="15.75">
      <c r="A7" s="218"/>
      <c r="B7" s="21" t="s">
        <v>441</v>
      </c>
      <c r="C7" s="21" t="str">
        <f t="shared" si="0"/>
        <v>8R-30</v>
      </c>
      <c r="D7" s="21">
        <f t="shared" si="1"/>
        <v>0.09821428571428571</v>
      </c>
      <c r="E7" s="21">
        <v>1</v>
      </c>
      <c r="F7" s="21">
        <f t="shared" si="9"/>
        <v>0.09821428571428571</v>
      </c>
      <c r="G7" s="44">
        <f t="shared" si="2"/>
        <v>8.914666666666667</v>
      </c>
      <c r="H7" s="44">
        <f t="shared" si="10"/>
        <v>0.8755476190476191</v>
      </c>
      <c r="I7" s="44">
        <f t="shared" si="3"/>
        <v>13.799904</v>
      </c>
      <c r="J7" s="44">
        <f t="shared" si="11"/>
        <v>1.3553477142857142</v>
      </c>
      <c r="K7" s="21" t="s">
        <v>413</v>
      </c>
      <c r="L7" s="22">
        <f t="shared" si="4"/>
        <v>6.6914</v>
      </c>
      <c r="M7" s="22">
        <f t="shared" si="5"/>
        <v>0.6571910714285714</v>
      </c>
      <c r="N7" s="44">
        <f t="shared" si="6"/>
        <v>5.170642857142857</v>
      </c>
      <c r="O7" s="44">
        <f t="shared" si="7"/>
        <v>0.5078309948979591</v>
      </c>
      <c r="P7" s="44">
        <f t="shared" si="8"/>
        <v>15.146536476190477</v>
      </c>
      <c r="Q7" s="2">
        <f t="shared" si="12"/>
        <v>1.4876062610544218</v>
      </c>
      <c r="R7" s="44">
        <f t="shared" si="13"/>
        <v>2.8429539753401363</v>
      </c>
    </row>
    <row r="8" spans="1:18" ht="15.75">
      <c r="A8" s="218"/>
      <c r="B8" s="21" t="s">
        <v>416</v>
      </c>
      <c r="C8" s="21" t="str">
        <f t="shared" si="0"/>
        <v>60'</v>
      </c>
      <c r="D8" s="21">
        <f t="shared" si="1"/>
        <v>0.028205128205128206</v>
      </c>
      <c r="E8" s="21">
        <v>1</v>
      </c>
      <c r="F8" s="21">
        <f t="shared" si="9"/>
        <v>0.028205128205128206</v>
      </c>
      <c r="G8" s="44">
        <f t="shared" si="2"/>
        <v>3.50578125</v>
      </c>
      <c r="H8" s="44">
        <f t="shared" si="10"/>
        <v>0.09888100961538462</v>
      </c>
      <c r="I8" s="44">
        <f t="shared" si="3"/>
        <v>5.788746</v>
      </c>
      <c r="J8" s="44">
        <f t="shared" si="11"/>
        <v>0.16327232307692308</v>
      </c>
      <c r="K8" s="21" t="s">
        <v>413</v>
      </c>
      <c r="L8" s="22">
        <f t="shared" si="4"/>
        <v>6.6914</v>
      </c>
      <c r="M8" s="22">
        <f t="shared" si="5"/>
        <v>0.18873179487179487</v>
      </c>
      <c r="N8" s="44">
        <f t="shared" si="6"/>
        <v>5.170642857142857</v>
      </c>
      <c r="O8" s="44">
        <f t="shared" si="7"/>
        <v>0.1458386446886447</v>
      </c>
      <c r="P8" s="44">
        <f t="shared" si="8"/>
        <v>15.146536476190477</v>
      </c>
      <c r="Q8" s="2">
        <f t="shared" si="12"/>
        <v>0.42721000317460317</v>
      </c>
      <c r="R8" s="44">
        <f t="shared" si="13"/>
        <v>0.5904823262515262</v>
      </c>
    </row>
    <row r="9" spans="1:18" ht="15.75">
      <c r="A9" s="218"/>
      <c r="C9" s="21">
        <f t="shared" si="0"/>
        <v>0</v>
      </c>
      <c r="D9" s="21">
        <f t="shared" si="1"/>
        <v>0</v>
      </c>
      <c r="E9" s="21">
        <v>1</v>
      </c>
      <c r="F9" s="21">
        <f t="shared" si="9"/>
        <v>0</v>
      </c>
      <c r="G9" s="44">
        <f t="shared" si="2"/>
        <v>0</v>
      </c>
      <c r="H9" s="44">
        <f t="shared" si="10"/>
        <v>0</v>
      </c>
      <c r="I9" s="44">
        <f t="shared" si="3"/>
        <v>0</v>
      </c>
      <c r="J9" s="44">
        <f t="shared" si="11"/>
        <v>0</v>
      </c>
      <c r="K9" s="21"/>
      <c r="L9" s="22">
        <f t="shared" si="4"/>
        <v>0</v>
      </c>
      <c r="M9" s="22">
        <f t="shared" si="5"/>
        <v>0</v>
      </c>
      <c r="N9" s="44">
        <f t="shared" si="6"/>
        <v>0</v>
      </c>
      <c r="O9" s="44">
        <f t="shared" si="7"/>
        <v>0</v>
      </c>
      <c r="P9" s="44">
        <f t="shared" si="8"/>
        <v>0</v>
      </c>
      <c r="Q9" s="2">
        <f t="shared" si="12"/>
        <v>0</v>
      </c>
      <c r="R9" s="44">
        <f t="shared" si="13"/>
        <v>0</v>
      </c>
    </row>
    <row r="10" spans="1:18" ht="15.75">
      <c r="A10" s="218"/>
      <c r="C10" s="21">
        <f t="shared" si="0"/>
        <v>0</v>
      </c>
      <c r="D10" s="21">
        <f t="shared" si="1"/>
        <v>0</v>
      </c>
      <c r="E10" s="21">
        <v>1</v>
      </c>
      <c r="F10" s="21">
        <f t="shared" si="9"/>
        <v>0</v>
      </c>
      <c r="G10" s="44">
        <f t="shared" si="2"/>
        <v>0</v>
      </c>
      <c r="H10" s="44">
        <f t="shared" si="10"/>
        <v>0</v>
      </c>
      <c r="I10" s="44">
        <f t="shared" si="3"/>
        <v>0</v>
      </c>
      <c r="J10" s="44">
        <f t="shared" si="11"/>
        <v>0</v>
      </c>
      <c r="K10" s="21"/>
      <c r="L10" s="22">
        <f t="shared" si="4"/>
        <v>0</v>
      </c>
      <c r="M10" s="22">
        <f t="shared" si="5"/>
        <v>0</v>
      </c>
      <c r="N10" s="44">
        <f t="shared" si="6"/>
        <v>0</v>
      </c>
      <c r="O10" s="44">
        <f t="shared" si="7"/>
        <v>0</v>
      </c>
      <c r="P10" s="44">
        <f t="shared" si="8"/>
        <v>0</v>
      </c>
      <c r="Q10" s="2">
        <f t="shared" si="12"/>
        <v>0</v>
      </c>
      <c r="R10" s="44">
        <f t="shared" si="13"/>
        <v>0</v>
      </c>
    </row>
    <row r="11" spans="1:18" ht="15.75">
      <c r="A11" s="218"/>
      <c r="C11" s="21">
        <f t="shared" si="0"/>
        <v>0</v>
      </c>
      <c r="D11" s="21">
        <f t="shared" si="1"/>
        <v>0</v>
      </c>
      <c r="E11" s="21">
        <v>1</v>
      </c>
      <c r="F11" s="21">
        <f t="shared" si="9"/>
        <v>0</v>
      </c>
      <c r="G11" s="44">
        <f t="shared" si="2"/>
        <v>0</v>
      </c>
      <c r="H11" s="44">
        <f t="shared" si="10"/>
        <v>0</v>
      </c>
      <c r="I11" s="44">
        <f t="shared" si="3"/>
        <v>0</v>
      </c>
      <c r="J11" s="44">
        <f t="shared" si="11"/>
        <v>0</v>
      </c>
      <c r="K11" s="21"/>
      <c r="L11" s="22">
        <f t="shared" si="4"/>
        <v>0</v>
      </c>
      <c r="M11" s="22">
        <f t="shared" si="5"/>
        <v>0</v>
      </c>
      <c r="N11" s="44">
        <f t="shared" si="6"/>
        <v>0</v>
      </c>
      <c r="O11" s="44">
        <f t="shared" si="7"/>
        <v>0</v>
      </c>
      <c r="P11" s="44">
        <f t="shared" si="8"/>
        <v>0</v>
      </c>
      <c r="Q11" s="2">
        <f t="shared" si="12"/>
        <v>0</v>
      </c>
      <c r="R11" s="44">
        <f t="shared" si="13"/>
        <v>0</v>
      </c>
    </row>
    <row r="12" spans="1:18" ht="15.75">
      <c r="A12" s="218"/>
      <c r="C12" s="21">
        <f t="shared" si="0"/>
        <v>0</v>
      </c>
      <c r="D12" s="21">
        <f t="shared" si="1"/>
        <v>0</v>
      </c>
      <c r="E12" s="21">
        <v>1</v>
      </c>
      <c r="F12" s="21">
        <f t="shared" si="9"/>
        <v>0</v>
      </c>
      <c r="G12" s="44">
        <f t="shared" si="2"/>
        <v>0</v>
      </c>
      <c r="H12" s="44">
        <f t="shared" si="10"/>
        <v>0</v>
      </c>
      <c r="I12" s="44">
        <f t="shared" si="3"/>
        <v>0</v>
      </c>
      <c r="J12" s="44">
        <f t="shared" si="11"/>
        <v>0</v>
      </c>
      <c r="K12" s="21"/>
      <c r="L12" s="22">
        <f t="shared" si="4"/>
        <v>0</v>
      </c>
      <c r="M12" s="22">
        <f t="shared" si="5"/>
        <v>0</v>
      </c>
      <c r="N12" s="44">
        <f t="shared" si="6"/>
        <v>0</v>
      </c>
      <c r="O12" s="44">
        <f t="shared" si="7"/>
        <v>0</v>
      </c>
      <c r="P12" s="44">
        <f t="shared" si="8"/>
        <v>0</v>
      </c>
      <c r="Q12" s="2">
        <f t="shared" si="12"/>
        <v>0</v>
      </c>
      <c r="R12" s="44">
        <f t="shared" si="13"/>
        <v>0</v>
      </c>
    </row>
    <row r="13" spans="1:18" ht="15.75">
      <c r="A13" s="218"/>
      <c r="C13" s="21">
        <f t="shared" si="0"/>
        <v>0</v>
      </c>
      <c r="D13" s="21">
        <f t="shared" si="1"/>
        <v>0</v>
      </c>
      <c r="E13" s="21">
        <v>1</v>
      </c>
      <c r="F13" s="21">
        <f t="shared" si="9"/>
        <v>0</v>
      </c>
      <c r="G13" s="44">
        <f t="shared" si="2"/>
        <v>0</v>
      </c>
      <c r="H13" s="44">
        <f t="shared" si="10"/>
        <v>0</v>
      </c>
      <c r="I13" s="44">
        <f t="shared" si="3"/>
        <v>0</v>
      </c>
      <c r="J13" s="44">
        <f t="shared" si="11"/>
        <v>0</v>
      </c>
      <c r="K13" s="21"/>
      <c r="L13" s="22">
        <f t="shared" si="4"/>
        <v>0</v>
      </c>
      <c r="M13" s="22">
        <f t="shared" si="5"/>
        <v>0</v>
      </c>
      <c r="N13" s="44">
        <f t="shared" si="6"/>
        <v>0</v>
      </c>
      <c r="O13" s="44">
        <f t="shared" si="7"/>
        <v>0</v>
      </c>
      <c r="P13" s="44">
        <f t="shared" si="8"/>
        <v>0</v>
      </c>
      <c r="Q13" s="2">
        <f t="shared" si="12"/>
        <v>0</v>
      </c>
      <c r="R13" s="44">
        <f t="shared" si="13"/>
        <v>0</v>
      </c>
    </row>
    <row r="14" spans="1:18" ht="15.75">
      <c r="A14" s="218"/>
      <c r="C14" s="21">
        <f t="shared" si="0"/>
        <v>0</v>
      </c>
      <c r="D14" s="21">
        <f t="shared" si="1"/>
        <v>0</v>
      </c>
      <c r="E14" s="21">
        <v>1</v>
      </c>
      <c r="F14" s="21">
        <f t="shared" si="9"/>
        <v>0</v>
      </c>
      <c r="G14" s="44">
        <f t="shared" si="2"/>
        <v>0</v>
      </c>
      <c r="H14" s="44">
        <f t="shared" si="10"/>
        <v>0</v>
      </c>
      <c r="I14" s="44">
        <f t="shared" si="3"/>
        <v>0</v>
      </c>
      <c r="J14" s="44">
        <f t="shared" si="11"/>
        <v>0</v>
      </c>
      <c r="K14" s="21"/>
      <c r="L14" s="22">
        <f t="shared" si="4"/>
        <v>0</v>
      </c>
      <c r="M14" s="22">
        <f t="shared" si="5"/>
        <v>0</v>
      </c>
      <c r="N14" s="44">
        <f t="shared" si="6"/>
        <v>0</v>
      </c>
      <c r="O14" s="44">
        <f t="shared" si="7"/>
        <v>0</v>
      </c>
      <c r="P14" s="44">
        <f t="shared" si="8"/>
        <v>0</v>
      </c>
      <c r="Q14" s="2">
        <f t="shared" si="12"/>
        <v>0</v>
      </c>
      <c r="R14" s="44">
        <f t="shared" si="13"/>
        <v>0</v>
      </c>
    </row>
    <row r="15" spans="1:18" ht="15.75">
      <c r="A15" s="218"/>
      <c r="C15" s="21">
        <f t="shared" si="0"/>
        <v>0</v>
      </c>
      <c r="D15" s="21">
        <f t="shared" si="1"/>
        <v>0</v>
      </c>
      <c r="E15" s="21">
        <v>1</v>
      </c>
      <c r="F15" s="21">
        <f t="shared" si="9"/>
        <v>0</v>
      </c>
      <c r="G15" s="44">
        <f t="shared" si="2"/>
        <v>0</v>
      </c>
      <c r="H15" s="44">
        <f t="shared" si="10"/>
        <v>0</v>
      </c>
      <c r="I15" s="44">
        <f t="shared" si="3"/>
        <v>0</v>
      </c>
      <c r="J15" s="44">
        <f t="shared" si="11"/>
        <v>0</v>
      </c>
      <c r="K15" s="21"/>
      <c r="L15" s="22">
        <f t="shared" si="4"/>
        <v>0</v>
      </c>
      <c r="M15" s="22">
        <f t="shared" si="5"/>
        <v>0</v>
      </c>
      <c r="N15" s="44">
        <f t="shared" si="6"/>
        <v>0</v>
      </c>
      <c r="O15" s="44">
        <f t="shared" si="7"/>
        <v>0</v>
      </c>
      <c r="P15" s="44">
        <f t="shared" si="8"/>
        <v>0</v>
      </c>
      <c r="Q15" s="2">
        <f t="shared" si="12"/>
        <v>0</v>
      </c>
      <c r="R15" s="44">
        <f t="shared" si="13"/>
        <v>0</v>
      </c>
    </row>
    <row r="16" spans="1:18" ht="15.75">
      <c r="A16" s="218"/>
      <c r="C16" s="21">
        <f t="shared" si="0"/>
        <v>0</v>
      </c>
      <c r="D16" s="21">
        <f t="shared" si="1"/>
        <v>0</v>
      </c>
      <c r="E16" s="21">
        <v>1</v>
      </c>
      <c r="F16" s="21">
        <f t="shared" si="9"/>
        <v>0</v>
      </c>
      <c r="G16" s="44">
        <f t="shared" si="2"/>
        <v>0</v>
      </c>
      <c r="H16" s="44">
        <f t="shared" si="10"/>
        <v>0</v>
      </c>
      <c r="I16" s="44">
        <f t="shared" si="3"/>
        <v>0</v>
      </c>
      <c r="J16" s="44">
        <f t="shared" si="11"/>
        <v>0</v>
      </c>
      <c r="K16" s="21"/>
      <c r="L16" s="22">
        <f t="shared" si="4"/>
        <v>0</v>
      </c>
      <c r="M16" s="22">
        <f t="shared" si="5"/>
        <v>0</v>
      </c>
      <c r="N16" s="44">
        <f t="shared" si="6"/>
        <v>0</v>
      </c>
      <c r="O16" s="44">
        <f t="shared" si="7"/>
        <v>0</v>
      </c>
      <c r="P16" s="44">
        <f t="shared" si="8"/>
        <v>0</v>
      </c>
      <c r="Q16" s="2">
        <f t="shared" si="12"/>
        <v>0</v>
      </c>
      <c r="R16" s="44">
        <f t="shared" si="13"/>
        <v>0</v>
      </c>
    </row>
    <row r="17" spans="1:18" ht="16.5" thickBot="1">
      <c r="A17" s="218"/>
      <c r="C17" s="21">
        <f t="shared" si="0"/>
        <v>0</v>
      </c>
      <c r="D17" s="21">
        <f t="shared" si="1"/>
        <v>0</v>
      </c>
      <c r="E17" s="21">
        <v>1</v>
      </c>
      <c r="F17" s="21">
        <f t="shared" si="9"/>
        <v>0</v>
      </c>
      <c r="G17" s="44">
        <f t="shared" si="2"/>
        <v>0</v>
      </c>
      <c r="H17" s="44">
        <f t="shared" si="10"/>
        <v>0</v>
      </c>
      <c r="I17" s="44">
        <f t="shared" si="3"/>
        <v>0</v>
      </c>
      <c r="J17" s="44">
        <f t="shared" si="11"/>
        <v>0</v>
      </c>
      <c r="K17" s="21"/>
      <c r="L17" s="22">
        <f t="shared" si="4"/>
        <v>0</v>
      </c>
      <c r="M17" s="22">
        <f t="shared" si="5"/>
        <v>0</v>
      </c>
      <c r="N17" s="44">
        <f t="shared" si="6"/>
        <v>0</v>
      </c>
      <c r="O17" s="44">
        <f t="shared" si="7"/>
        <v>0</v>
      </c>
      <c r="P17" s="44">
        <f t="shared" si="8"/>
        <v>0</v>
      </c>
      <c r="Q17" s="2">
        <f t="shared" si="12"/>
        <v>0</v>
      </c>
      <c r="R17" s="44">
        <f t="shared" si="13"/>
        <v>0</v>
      </c>
    </row>
    <row r="18" spans="1:18" ht="16.5" thickBot="1">
      <c r="A18" s="218"/>
      <c r="B18" s="23" t="s">
        <v>46</v>
      </c>
      <c r="C18" s="24"/>
      <c r="D18" s="24"/>
      <c r="E18" s="24"/>
      <c r="F18" s="24">
        <f>+SUM(F3:F17)</f>
        <v>0.45124983107278</v>
      </c>
      <c r="G18" s="45"/>
      <c r="H18" s="45">
        <f>+SUM(H3:H17)</f>
        <v>3.353946691539067</v>
      </c>
      <c r="I18" s="45"/>
      <c r="J18" s="45">
        <f>+SUM(J3:J17)</f>
        <v>8.432070067049638</v>
      </c>
      <c r="K18" s="24"/>
      <c r="L18" s="25"/>
      <c r="M18" s="26">
        <f>+SUM(M3:M17)</f>
        <v>3.7323369868144622</v>
      </c>
      <c r="N18" s="44"/>
      <c r="O18" s="44">
        <f>+SUM(O3:O17)</f>
        <v>3.128469560691601</v>
      </c>
      <c r="Q18" s="2">
        <f t="shared" si="12"/>
        <v>0</v>
      </c>
      <c r="R18" s="44">
        <f>+SUM(R3:R17)</f>
        <v>17.596400233502234</v>
      </c>
    </row>
    <row r="21" spans="2:13" ht="15.75">
      <c r="B21" s="217" t="s">
        <v>369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12" ht="31.5">
      <c r="A22" s="19"/>
      <c r="B22" s="19" t="s">
        <v>39</v>
      </c>
      <c r="C22" s="19" t="s">
        <v>40</v>
      </c>
      <c r="D22" s="19" t="s">
        <v>41</v>
      </c>
      <c r="E22" s="19" t="s">
        <v>42</v>
      </c>
      <c r="F22" s="19" t="s">
        <v>43</v>
      </c>
      <c r="G22" s="62" t="s">
        <v>288</v>
      </c>
      <c r="H22" s="62" t="s">
        <v>289</v>
      </c>
      <c r="I22" s="59" t="s">
        <v>148</v>
      </c>
      <c r="J22" s="59" t="s">
        <v>149</v>
      </c>
      <c r="K22" s="69" t="s">
        <v>328</v>
      </c>
      <c r="L22" s="69" t="s">
        <v>329</v>
      </c>
    </row>
    <row r="23" spans="1:12" ht="15.75">
      <c r="A23" s="218" t="s">
        <v>167</v>
      </c>
      <c r="C23" s="21" t="e">
        <f>+IF(A23&lt;&gt;"",VLOOKUP($B23,sprayer_data,3),0)</f>
        <v>#N/A</v>
      </c>
      <c r="D23" s="21">
        <f>+IF(B23&lt;&gt;"",VLOOKUP($B23,sprayer_data,7),0)</f>
        <v>0</v>
      </c>
      <c r="E23" s="21">
        <v>2</v>
      </c>
      <c r="F23" s="21">
        <f>+E23*D23</f>
        <v>0</v>
      </c>
      <c r="G23" s="21">
        <f>+IF(B23&lt;&gt;"",VLOOKUP($B23,sprayer_data,8),0)</f>
        <v>0</v>
      </c>
      <c r="H23" s="44">
        <f>+G23*F23</f>
        <v>0</v>
      </c>
      <c r="I23" s="44">
        <f>+IF(B23&lt;&gt;"",VLOOKUP($B23,sprayer_data,19),0)</f>
        <v>0</v>
      </c>
      <c r="J23" s="44">
        <f>+I23*F23</f>
        <v>0</v>
      </c>
      <c r="K23" s="44">
        <f>+IF(B23&lt;&gt;"",VLOOKUP($B23,sprayer_data,26),0)</f>
        <v>0</v>
      </c>
      <c r="L23" s="2">
        <f>+K23*J23</f>
        <v>0</v>
      </c>
    </row>
    <row r="24" spans="1:12" ht="15.75">
      <c r="A24" s="218"/>
      <c r="C24" s="21">
        <f>+IF(A24&lt;&gt;"",VLOOKUP($B24,sprayer_data,3),0)</f>
        <v>0</v>
      </c>
      <c r="D24" s="21">
        <f>+IF(B24&lt;&gt;"",VLOOKUP($B24,sprayer_data,7),0)</f>
        <v>0</v>
      </c>
      <c r="E24" s="21">
        <v>2</v>
      </c>
      <c r="F24" s="21">
        <f>+E24*D24</f>
        <v>0</v>
      </c>
      <c r="G24" s="21">
        <f>+IF(B24&lt;&gt;"",VLOOKUP($B24,sprayer_data,8),0)</f>
        <v>0</v>
      </c>
      <c r="H24" s="44">
        <f>+G24*F24</f>
        <v>0</v>
      </c>
      <c r="I24" s="44">
        <f>+IF(B24&lt;&gt;"",VLOOKUP($B24,sprayer_data,19),0)</f>
        <v>0</v>
      </c>
      <c r="J24" s="44">
        <f>+I24*F24</f>
        <v>0</v>
      </c>
      <c r="K24" s="44">
        <f>+IF(B24&lt;&gt;"",VLOOKUP($B24,sprayer_data,26),0)</f>
        <v>0</v>
      </c>
      <c r="L24" s="2">
        <f>+K24*J24</f>
        <v>0</v>
      </c>
    </row>
    <row r="25" spans="1:12" ht="15.75">
      <c r="A25" s="218"/>
      <c r="C25" s="21">
        <f>+IF(A25&lt;&gt;"",VLOOKUP($B25,sprayer_data,3),0)</f>
        <v>0</v>
      </c>
      <c r="D25" s="21">
        <f>+IF(B25&lt;&gt;"",VLOOKUP($B25,sprayer_data,7),0)</f>
        <v>0</v>
      </c>
      <c r="E25" s="21">
        <v>2</v>
      </c>
      <c r="F25" s="21">
        <f>+E25*D25</f>
        <v>0</v>
      </c>
      <c r="G25" s="21">
        <f>+IF(B25&lt;&gt;"",VLOOKUP($B25,sprayer_data,8),0)</f>
        <v>0</v>
      </c>
      <c r="H25" s="44">
        <f>+G25*F25</f>
        <v>0</v>
      </c>
      <c r="I25" s="44">
        <f>+IF(B25&lt;&gt;"",VLOOKUP($B25,sprayer_data,19),0)</f>
        <v>0</v>
      </c>
      <c r="J25" s="44">
        <f>+I25*F25</f>
        <v>0</v>
      </c>
      <c r="K25" s="44">
        <f>+IF(B25&lt;&gt;"",VLOOKUP($B25,sprayer_data,26),0)</f>
        <v>0</v>
      </c>
      <c r="L25" s="2">
        <f>+K25*J25</f>
        <v>0</v>
      </c>
    </row>
    <row r="26" spans="1:12" ht="16.5" thickBot="1">
      <c r="A26" s="218"/>
      <c r="C26" s="21">
        <f>+IF(A26&lt;&gt;"",VLOOKUP($B26,sprayer_data,3),0)</f>
        <v>0</v>
      </c>
      <c r="D26" s="21">
        <f>+IF(B26&lt;&gt;"",VLOOKUP($B26,sprayer_data,7),0)</f>
        <v>0</v>
      </c>
      <c r="E26" s="21">
        <v>2</v>
      </c>
      <c r="F26" s="21">
        <f>+E26*D26</f>
        <v>0</v>
      </c>
      <c r="G26" s="21">
        <f>+IF(B26&lt;&gt;"",VLOOKUP($B26,sprayer_data,8),0)</f>
        <v>0</v>
      </c>
      <c r="H26" s="44">
        <f>+G26*F26</f>
        <v>0</v>
      </c>
      <c r="I26" s="44">
        <f>+IF(B26&lt;&gt;"",VLOOKUP($B26,sprayer_data,19),0)</f>
        <v>0</v>
      </c>
      <c r="J26" s="44">
        <f>+I26*F26</f>
        <v>0</v>
      </c>
      <c r="K26" s="44">
        <f>+IF(B26&lt;&gt;"",VLOOKUP($B26,sprayer_data,26),0)</f>
        <v>0</v>
      </c>
      <c r="L26" s="2">
        <f>+K26*J26</f>
        <v>0</v>
      </c>
    </row>
    <row r="27" spans="1:13" ht="16.5" thickBot="1">
      <c r="A27" s="218"/>
      <c r="B27" s="23" t="s">
        <v>46</v>
      </c>
      <c r="C27" s="24"/>
      <c r="D27" s="24"/>
      <c r="E27" s="24"/>
      <c r="F27" s="24">
        <f>+SUM(F23:F26)</f>
        <v>0</v>
      </c>
      <c r="G27" s="63"/>
      <c r="H27" s="45">
        <f>+SUM(H23:H26)</f>
        <v>0</v>
      </c>
      <c r="I27" s="45"/>
      <c r="J27" s="45">
        <f>+SUM(J23:J26)</f>
        <v>0</v>
      </c>
      <c r="K27" s="44"/>
      <c r="L27" s="44">
        <f>+SUM(L23:L26)</f>
        <v>0</v>
      </c>
      <c r="M27" s="21"/>
    </row>
    <row r="28" spans="10:11" ht="15.75">
      <c r="J28" s="21"/>
      <c r="K28" s="21"/>
    </row>
    <row r="29" spans="10:11" ht="15.75">
      <c r="J29" s="21"/>
      <c r="K29" s="21"/>
    </row>
    <row r="30" spans="10:11" ht="15.75">
      <c r="J30" s="21"/>
      <c r="K30" s="21"/>
    </row>
    <row r="31" spans="10:11" ht="15.75">
      <c r="J31" s="21"/>
      <c r="K31" s="21"/>
    </row>
    <row r="32" spans="10:11" ht="15.75">
      <c r="J32" s="21"/>
      <c r="K32" s="21"/>
    </row>
    <row r="33" spans="10:11" ht="15.75">
      <c r="J33" s="21"/>
      <c r="K33" s="21"/>
    </row>
    <row r="34" spans="10:11" ht="15.75">
      <c r="J34" s="21"/>
      <c r="K34" s="21"/>
    </row>
    <row r="35" spans="10:11" ht="15.75">
      <c r="J35" s="21"/>
      <c r="K35" s="21"/>
    </row>
    <row r="36" spans="10:11" ht="15.75">
      <c r="J36" s="21"/>
      <c r="K36" s="21"/>
    </row>
    <row r="37" spans="10:11" ht="15.75">
      <c r="J37" s="21"/>
      <c r="K37" s="21"/>
    </row>
  </sheetData>
  <mergeCells count="4">
    <mergeCell ref="B1:M1"/>
    <mergeCell ref="A3:A18"/>
    <mergeCell ref="B21:M21"/>
    <mergeCell ref="A23:A27"/>
  </mergeCells>
  <dataValidations count="4">
    <dataValidation type="list" allowBlank="1" showInputMessage="1" showErrorMessage="1" sqref="K18 I19:I20">
      <formula1>tractor_list</formula1>
    </dataValidation>
    <dataValidation type="list" allowBlank="1" showInputMessage="1" showErrorMessage="1" sqref="B23:B26">
      <formula1>sprayer_list</formula1>
    </dataValidation>
    <dataValidation type="list" allowBlank="1" showInputMessage="1" showErrorMessage="1" sqref="B3:B17">
      <formula1>pre_harvest_implement_list</formula1>
    </dataValidation>
    <dataValidation type="list" allowBlank="1" showInputMessage="1" showErrorMessage="1" sqref="K3:K17">
      <formula1>tractor_combine_list</formula1>
    </dataValidation>
  </dataValidations>
  <hyperlinks>
    <hyperlink ref="A1" location="Main!B13" display="Return to Main Budget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75" zoomScaleNormal="75" workbookViewId="0" topLeftCell="D1">
      <selection activeCell="I26" sqref="I26"/>
    </sheetView>
  </sheetViews>
  <sheetFormatPr defaultColWidth="9.140625" defaultRowHeight="12.75"/>
  <cols>
    <col min="1" max="1" width="27.57421875" style="0" customWidth="1"/>
    <col min="2" max="2" width="34.140625" style="0" customWidth="1"/>
    <col min="6" max="6" width="9.57421875" style="0" bestFit="1" customWidth="1"/>
    <col min="8" max="8" width="11.00390625" style="0" customWidth="1"/>
    <col min="9" max="9" width="36.7109375" style="2" customWidth="1"/>
    <col min="10" max="10" width="11.7109375" style="2" customWidth="1"/>
    <col min="11" max="11" width="29.7109375" style="0" bestFit="1" customWidth="1"/>
    <col min="12" max="12" width="15.28125" style="0" customWidth="1"/>
    <col min="13" max="13" width="11.421875" style="0" customWidth="1"/>
    <col min="15" max="15" width="10.140625" style="0" customWidth="1"/>
    <col min="16" max="16" width="10.00390625" style="0" customWidth="1"/>
    <col min="17" max="17" width="13.140625" style="0" bestFit="1" customWidth="1"/>
  </cols>
  <sheetData>
    <row r="1" spans="1:14" ht="15.75">
      <c r="A1" s="9" t="s">
        <v>335</v>
      </c>
      <c r="B1" s="217" t="s">
        <v>150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"/>
    </row>
    <row r="2" spans="1:18" ht="63">
      <c r="A2" s="21"/>
      <c r="B2" s="43" t="s">
        <v>162</v>
      </c>
      <c r="C2" s="19" t="s">
        <v>40</v>
      </c>
      <c r="D2" s="19" t="s">
        <v>41</v>
      </c>
      <c r="E2" s="19" t="s">
        <v>42</v>
      </c>
      <c r="F2" s="19" t="s">
        <v>43</v>
      </c>
      <c r="G2" s="43" t="s">
        <v>280</v>
      </c>
      <c r="H2" s="43" t="s">
        <v>281</v>
      </c>
      <c r="I2" s="59" t="s">
        <v>322</v>
      </c>
      <c r="J2" s="59" t="s">
        <v>323</v>
      </c>
      <c r="K2" s="43" t="s">
        <v>279</v>
      </c>
      <c r="L2" s="70" t="s">
        <v>44</v>
      </c>
      <c r="M2" s="70" t="s">
        <v>45</v>
      </c>
      <c r="N2" s="71" t="s">
        <v>282</v>
      </c>
      <c r="O2" s="71" t="s">
        <v>283</v>
      </c>
      <c r="P2" s="71" t="s">
        <v>284</v>
      </c>
      <c r="Q2" s="72" t="s">
        <v>324</v>
      </c>
      <c r="R2" s="72" t="s">
        <v>325</v>
      </c>
    </row>
    <row r="3" spans="1:18" ht="15.75">
      <c r="A3" s="52" t="s">
        <v>164</v>
      </c>
      <c r="B3" s="50"/>
      <c r="C3" s="50">
        <f aca="true" t="shared" si="0" ref="C3:C20">+IF(B3&lt;&gt;"",VLOOKUP($B3,harvest_implement_info,3),0)</f>
        <v>0</v>
      </c>
      <c r="D3" s="64">
        <f aca="true" t="shared" si="1" ref="D3:D20">+IF(C3&gt;0,VLOOKUP($B3,harvest_implement_info,7),0)</f>
        <v>0</v>
      </c>
      <c r="E3" s="64">
        <v>1</v>
      </c>
      <c r="F3" s="64">
        <f>+E3*D3</f>
        <v>0</v>
      </c>
      <c r="G3" s="51">
        <f aca="true" t="shared" si="2" ref="G3:G20">+IF($B3&lt;&gt;"",VLOOKUP($B3,harvest_implement_info,19),0)</f>
        <v>0</v>
      </c>
      <c r="H3" s="51">
        <f>+G3*F3</f>
        <v>0</v>
      </c>
      <c r="I3" s="51">
        <f aca="true" t="shared" si="3" ref="I3:I20">+IF($B3&lt;&gt;"",VLOOKUP($B3,harvest_implement_info,28),0)</f>
        <v>0</v>
      </c>
      <c r="J3" s="2">
        <f>+I3*F3</f>
        <v>0</v>
      </c>
      <c r="K3" s="50" t="s">
        <v>425</v>
      </c>
      <c r="L3" s="22">
        <f aca="true" t="shared" si="4" ref="L3:L20">+IF(K3&lt;&gt;"",VLOOKUP($K3,tractor_combine_data,4),0)</f>
        <v>11.5813</v>
      </c>
      <c r="M3" s="22">
        <f aca="true" t="shared" si="5" ref="M3:M20">+L3*F3</f>
        <v>0</v>
      </c>
      <c r="N3" s="44">
        <f aca="true" t="shared" si="6" ref="N3:N20">+IF(F3&gt;0,VLOOKUP($K3,tractor_combine_data,11),0)</f>
        <v>0</v>
      </c>
      <c r="O3" s="44">
        <f aca="true" t="shared" si="7" ref="O3:O20">+N3*F3</f>
        <v>0</v>
      </c>
      <c r="P3" s="60">
        <f aca="true" t="shared" si="8" ref="P3:P20">+O3+H3</f>
        <v>0</v>
      </c>
      <c r="Q3" s="44">
        <f aca="true" t="shared" si="9" ref="Q3:Q20">+IF(I3&gt;0,VLOOKUP($K3,tractor_combine_data,21),0)</f>
        <v>0</v>
      </c>
      <c r="R3" s="2">
        <f>+Q3*F3</f>
        <v>0</v>
      </c>
    </row>
    <row r="4" spans="1:18" ht="15.75">
      <c r="A4" s="219" t="s">
        <v>165</v>
      </c>
      <c r="B4" s="170"/>
      <c r="C4" s="50">
        <f t="shared" si="0"/>
        <v>0</v>
      </c>
      <c r="D4" s="64">
        <f t="shared" si="1"/>
        <v>0</v>
      </c>
      <c r="E4" s="64">
        <v>1</v>
      </c>
      <c r="F4" s="64">
        <f>+E4*D4</f>
        <v>0</v>
      </c>
      <c r="G4" s="51">
        <f t="shared" si="2"/>
        <v>0</v>
      </c>
      <c r="H4" s="51">
        <f>+G4*F4</f>
        <v>0</v>
      </c>
      <c r="I4" s="51">
        <f t="shared" si="3"/>
        <v>0</v>
      </c>
      <c r="J4" s="2">
        <f>+I4*F4</f>
        <v>0</v>
      </c>
      <c r="K4" s="53"/>
      <c r="L4" s="22">
        <f t="shared" si="4"/>
        <v>0</v>
      </c>
      <c r="M4" s="22">
        <f t="shared" si="5"/>
        <v>0</v>
      </c>
      <c r="N4" s="44">
        <f t="shared" si="6"/>
        <v>0</v>
      </c>
      <c r="O4" s="44">
        <f t="shared" si="7"/>
        <v>0</v>
      </c>
      <c r="P4" s="60">
        <f t="shared" si="8"/>
        <v>0</v>
      </c>
      <c r="Q4" s="44">
        <f t="shared" si="9"/>
        <v>0</v>
      </c>
      <c r="R4" s="2">
        <f aca="true" t="shared" si="10" ref="R4:R20">+Q4*F4</f>
        <v>0</v>
      </c>
    </row>
    <row r="5" spans="1:18" ht="15.75">
      <c r="A5" s="220"/>
      <c r="B5" s="53"/>
      <c r="C5" s="50">
        <f t="shared" si="0"/>
        <v>0</v>
      </c>
      <c r="D5" s="64">
        <f t="shared" si="1"/>
        <v>0</v>
      </c>
      <c r="E5" s="64">
        <v>1</v>
      </c>
      <c r="F5" s="64">
        <f aca="true" t="shared" si="11" ref="F5:F20">+E5*D5</f>
        <v>0</v>
      </c>
      <c r="G5" s="51">
        <f t="shared" si="2"/>
        <v>0</v>
      </c>
      <c r="H5" s="51">
        <f aca="true" t="shared" si="12" ref="H5:H20">+G5*F5</f>
        <v>0</v>
      </c>
      <c r="I5" s="51">
        <f t="shared" si="3"/>
        <v>0</v>
      </c>
      <c r="J5" s="2">
        <f aca="true" t="shared" si="13" ref="J5:J20">+I5*F5</f>
        <v>0</v>
      </c>
      <c r="K5" s="53"/>
      <c r="L5" s="22">
        <f t="shared" si="4"/>
        <v>0</v>
      </c>
      <c r="M5" s="22">
        <f t="shared" si="5"/>
        <v>0</v>
      </c>
      <c r="N5" s="44">
        <f t="shared" si="6"/>
        <v>0</v>
      </c>
      <c r="O5" s="44">
        <f t="shared" si="7"/>
        <v>0</v>
      </c>
      <c r="P5" s="60">
        <f t="shared" si="8"/>
        <v>0</v>
      </c>
      <c r="Q5" s="44">
        <f t="shared" si="9"/>
        <v>0</v>
      </c>
      <c r="R5" s="2">
        <f t="shared" si="10"/>
        <v>0</v>
      </c>
    </row>
    <row r="6" spans="1:18" ht="15.75">
      <c r="A6" s="220"/>
      <c r="B6" s="53"/>
      <c r="C6" s="50">
        <f t="shared" si="0"/>
        <v>0</v>
      </c>
      <c r="D6" s="64">
        <f t="shared" si="1"/>
        <v>0</v>
      </c>
      <c r="E6" s="64">
        <v>1</v>
      </c>
      <c r="F6" s="64">
        <f t="shared" si="11"/>
        <v>0</v>
      </c>
      <c r="G6" s="51">
        <f t="shared" si="2"/>
        <v>0</v>
      </c>
      <c r="H6" s="51">
        <f t="shared" si="12"/>
        <v>0</v>
      </c>
      <c r="I6" s="51">
        <f t="shared" si="3"/>
        <v>0</v>
      </c>
      <c r="J6" s="2">
        <f t="shared" si="13"/>
        <v>0</v>
      </c>
      <c r="K6" s="53"/>
      <c r="L6" s="22">
        <f t="shared" si="4"/>
        <v>0</v>
      </c>
      <c r="M6" s="22">
        <f t="shared" si="5"/>
        <v>0</v>
      </c>
      <c r="N6" s="44">
        <f t="shared" si="6"/>
        <v>0</v>
      </c>
      <c r="O6" s="44">
        <f t="shared" si="7"/>
        <v>0</v>
      </c>
      <c r="P6" s="60">
        <f t="shared" si="8"/>
        <v>0</v>
      </c>
      <c r="Q6" s="44">
        <f t="shared" si="9"/>
        <v>0</v>
      </c>
      <c r="R6" s="2">
        <f t="shared" si="10"/>
        <v>0</v>
      </c>
    </row>
    <row r="7" spans="1:18" ht="15.75">
      <c r="A7" s="220"/>
      <c r="B7" s="53"/>
      <c r="C7" s="50">
        <f t="shared" si="0"/>
        <v>0</v>
      </c>
      <c r="D7" s="64">
        <f t="shared" si="1"/>
        <v>0</v>
      </c>
      <c r="E7" s="64">
        <v>1</v>
      </c>
      <c r="F7" s="64">
        <f t="shared" si="11"/>
        <v>0</v>
      </c>
      <c r="G7" s="51">
        <f t="shared" si="2"/>
        <v>0</v>
      </c>
      <c r="H7" s="51">
        <f t="shared" si="12"/>
        <v>0</v>
      </c>
      <c r="I7" s="51">
        <f t="shared" si="3"/>
        <v>0</v>
      </c>
      <c r="J7" s="2">
        <f t="shared" si="13"/>
        <v>0</v>
      </c>
      <c r="K7" s="53"/>
      <c r="L7" s="22">
        <f t="shared" si="4"/>
        <v>0</v>
      </c>
      <c r="M7" s="22">
        <f t="shared" si="5"/>
        <v>0</v>
      </c>
      <c r="N7" s="44">
        <f t="shared" si="6"/>
        <v>0</v>
      </c>
      <c r="O7" s="44">
        <f t="shared" si="7"/>
        <v>0</v>
      </c>
      <c r="P7" s="60">
        <f t="shared" si="8"/>
        <v>0</v>
      </c>
      <c r="Q7" s="44">
        <f t="shared" si="9"/>
        <v>0</v>
      </c>
      <c r="R7" s="2">
        <f t="shared" si="10"/>
        <v>0</v>
      </c>
    </row>
    <row r="8" spans="1:18" ht="15.75">
      <c r="A8" s="220"/>
      <c r="B8" s="53"/>
      <c r="C8" s="50">
        <f t="shared" si="0"/>
        <v>0</v>
      </c>
      <c r="D8" s="64">
        <f t="shared" si="1"/>
        <v>0</v>
      </c>
      <c r="E8" s="64">
        <v>1</v>
      </c>
      <c r="F8" s="64">
        <f t="shared" si="11"/>
        <v>0</v>
      </c>
      <c r="G8" s="51">
        <f t="shared" si="2"/>
        <v>0</v>
      </c>
      <c r="H8" s="51">
        <f t="shared" si="12"/>
        <v>0</v>
      </c>
      <c r="I8" s="51">
        <f t="shared" si="3"/>
        <v>0</v>
      </c>
      <c r="J8" s="2">
        <f t="shared" si="13"/>
        <v>0</v>
      </c>
      <c r="K8" s="53"/>
      <c r="L8" s="22">
        <f t="shared" si="4"/>
        <v>0</v>
      </c>
      <c r="M8" s="22">
        <f t="shared" si="5"/>
        <v>0</v>
      </c>
      <c r="N8" s="44">
        <f t="shared" si="6"/>
        <v>0</v>
      </c>
      <c r="O8" s="44">
        <f t="shared" si="7"/>
        <v>0</v>
      </c>
      <c r="P8" s="60">
        <f t="shared" si="8"/>
        <v>0</v>
      </c>
      <c r="Q8" s="44">
        <f t="shared" si="9"/>
        <v>0</v>
      </c>
      <c r="R8" s="2">
        <f t="shared" si="10"/>
        <v>0</v>
      </c>
    </row>
    <row r="9" spans="1:18" ht="15.75">
      <c r="A9" s="220"/>
      <c r="B9" s="53"/>
      <c r="C9" s="50">
        <f t="shared" si="0"/>
        <v>0</v>
      </c>
      <c r="D9" s="64">
        <f t="shared" si="1"/>
        <v>0</v>
      </c>
      <c r="E9" s="64">
        <v>1</v>
      </c>
      <c r="F9" s="64">
        <f t="shared" si="11"/>
        <v>0</v>
      </c>
      <c r="G9" s="51">
        <f t="shared" si="2"/>
        <v>0</v>
      </c>
      <c r="H9" s="51">
        <f t="shared" si="12"/>
        <v>0</v>
      </c>
      <c r="I9" s="51">
        <f t="shared" si="3"/>
        <v>0</v>
      </c>
      <c r="J9" s="2">
        <f t="shared" si="13"/>
        <v>0</v>
      </c>
      <c r="K9" s="53"/>
      <c r="L9" s="22">
        <f t="shared" si="4"/>
        <v>0</v>
      </c>
      <c r="M9" s="22">
        <f t="shared" si="5"/>
        <v>0</v>
      </c>
      <c r="N9" s="44">
        <f t="shared" si="6"/>
        <v>0</v>
      </c>
      <c r="O9" s="44">
        <f t="shared" si="7"/>
        <v>0</v>
      </c>
      <c r="P9" s="60">
        <f t="shared" si="8"/>
        <v>0</v>
      </c>
      <c r="Q9" s="44">
        <f t="shared" si="9"/>
        <v>0</v>
      </c>
      <c r="R9" s="2">
        <f t="shared" si="10"/>
        <v>0</v>
      </c>
    </row>
    <row r="10" spans="1:18" ht="15.75">
      <c r="A10" s="220"/>
      <c r="B10" s="53"/>
      <c r="C10" s="50">
        <f t="shared" si="0"/>
        <v>0</v>
      </c>
      <c r="D10" s="64">
        <f t="shared" si="1"/>
        <v>0</v>
      </c>
      <c r="E10" s="64">
        <v>1</v>
      </c>
      <c r="F10" s="64">
        <f t="shared" si="11"/>
        <v>0</v>
      </c>
      <c r="G10" s="51">
        <f t="shared" si="2"/>
        <v>0</v>
      </c>
      <c r="H10" s="51">
        <f t="shared" si="12"/>
        <v>0</v>
      </c>
      <c r="I10" s="51">
        <f t="shared" si="3"/>
        <v>0</v>
      </c>
      <c r="J10" s="2">
        <f t="shared" si="13"/>
        <v>0</v>
      </c>
      <c r="K10" s="53"/>
      <c r="L10" s="22">
        <f t="shared" si="4"/>
        <v>0</v>
      </c>
      <c r="M10" s="22">
        <f t="shared" si="5"/>
        <v>0</v>
      </c>
      <c r="N10" s="44">
        <f t="shared" si="6"/>
        <v>0</v>
      </c>
      <c r="O10" s="44">
        <f t="shared" si="7"/>
        <v>0</v>
      </c>
      <c r="P10" s="60">
        <f t="shared" si="8"/>
        <v>0</v>
      </c>
      <c r="Q10" s="44">
        <f t="shared" si="9"/>
        <v>0</v>
      </c>
      <c r="R10" s="2">
        <f t="shared" si="10"/>
        <v>0</v>
      </c>
    </row>
    <row r="11" spans="1:18" ht="15.75">
      <c r="A11" s="220"/>
      <c r="B11" s="53"/>
      <c r="C11" s="50">
        <f t="shared" si="0"/>
        <v>0</v>
      </c>
      <c r="D11" s="64">
        <f t="shared" si="1"/>
        <v>0</v>
      </c>
      <c r="E11" s="64">
        <v>1</v>
      </c>
      <c r="F11" s="64">
        <f t="shared" si="11"/>
        <v>0</v>
      </c>
      <c r="G11" s="51">
        <f t="shared" si="2"/>
        <v>0</v>
      </c>
      <c r="H11" s="51">
        <f t="shared" si="12"/>
        <v>0</v>
      </c>
      <c r="I11" s="51">
        <f t="shared" si="3"/>
        <v>0</v>
      </c>
      <c r="J11" s="2">
        <f t="shared" si="13"/>
        <v>0</v>
      </c>
      <c r="K11" s="53"/>
      <c r="L11" s="22">
        <f t="shared" si="4"/>
        <v>0</v>
      </c>
      <c r="M11" s="22">
        <f t="shared" si="5"/>
        <v>0</v>
      </c>
      <c r="N11" s="44">
        <f t="shared" si="6"/>
        <v>0</v>
      </c>
      <c r="O11" s="44">
        <f t="shared" si="7"/>
        <v>0</v>
      </c>
      <c r="P11" s="60">
        <f t="shared" si="8"/>
        <v>0</v>
      </c>
      <c r="Q11" s="44">
        <f t="shared" si="9"/>
        <v>0</v>
      </c>
      <c r="R11" s="2">
        <f t="shared" si="10"/>
        <v>0</v>
      </c>
    </row>
    <row r="12" spans="1:18" ht="15.75">
      <c r="A12" s="220"/>
      <c r="B12" s="53"/>
      <c r="C12" s="50">
        <f t="shared" si="0"/>
        <v>0</v>
      </c>
      <c r="D12" s="64">
        <f t="shared" si="1"/>
        <v>0</v>
      </c>
      <c r="E12" s="64">
        <v>1</v>
      </c>
      <c r="F12" s="64">
        <f t="shared" si="11"/>
        <v>0</v>
      </c>
      <c r="G12" s="51">
        <f t="shared" si="2"/>
        <v>0</v>
      </c>
      <c r="H12" s="51">
        <f t="shared" si="12"/>
        <v>0</v>
      </c>
      <c r="I12" s="51">
        <f t="shared" si="3"/>
        <v>0</v>
      </c>
      <c r="J12" s="2">
        <f t="shared" si="13"/>
        <v>0</v>
      </c>
      <c r="K12" s="53"/>
      <c r="L12" s="22">
        <f t="shared" si="4"/>
        <v>0</v>
      </c>
      <c r="M12" s="22">
        <f t="shared" si="5"/>
        <v>0</v>
      </c>
      <c r="N12" s="44">
        <f t="shared" si="6"/>
        <v>0</v>
      </c>
      <c r="O12" s="44">
        <f t="shared" si="7"/>
        <v>0</v>
      </c>
      <c r="P12" s="60">
        <f t="shared" si="8"/>
        <v>0</v>
      </c>
      <c r="Q12" s="44">
        <f t="shared" si="9"/>
        <v>0</v>
      </c>
      <c r="R12" s="2">
        <f t="shared" si="10"/>
        <v>0</v>
      </c>
    </row>
    <row r="13" spans="1:18" ht="15.75">
      <c r="A13" s="220"/>
      <c r="B13" s="53"/>
      <c r="C13" s="50">
        <f t="shared" si="0"/>
        <v>0</v>
      </c>
      <c r="D13" s="64">
        <f t="shared" si="1"/>
        <v>0</v>
      </c>
      <c r="E13" s="64">
        <v>1</v>
      </c>
      <c r="F13" s="64">
        <f t="shared" si="11"/>
        <v>0</v>
      </c>
      <c r="G13" s="51">
        <f t="shared" si="2"/>
        <v>0</v>
      </c>
      <c r="H13" s="51">
        <f t="shared" si="12"/>
        <v>0</v>
      </c>
      <c r="I13" s="51">
        <f t="shared" si="3"/>
        <v>0</v>
      </c>
      <c r="J13" s="2">
        <f t="shared" si="13"/>
        <v>0</v>
      </c>
      <c r="K13" s="53"/>
      <c r="L13" s="22">
        <f t="shared" si="4"/>
        <v>0</v>
      </c>
      <c r="M13" s="22">
        <f t="shared" si="5"/>
        <v>0</v>
      </c>
      <c r="N13" s="44">
        <f t="shared" si="6"/>
        <v>0</v>
      </c>
      <c r="O13" s="44">
        <f t="shared" si="7"/>
        <v>0</v>
      </c>
      <c r="P13" s="60">
        <f t="shared" si="8"/>
        <v>0</v>
      </c>
      <c r="Q13" s="44">
        <f t="shared" si="9"/>
        <v>0</v>
      </c>
      <c r="R13" s="2">
        <f t="shared" si="10"/>
        <v>0</v>
      </c>
    </row>
    <row r="14" spans="1:18" ht="15.75">
      <c r="A14" s="220"/>
      <c r="B14" s="53"/>
      <c r="C14" s="50">
        <f t="shared" si="0"/>
        <v>0</v>
      </c>
      <c r="D14" s="64">
        <f t="shared" si="1"/>
        <v>0</v>
      </c>
      <c r="E14" s="64">
        <v>1</v>
      </c>
      <c r="F14" s="64">
        <f t="shared" si="11"/>
        <v>0</v>
      </c>
      <c r="G14" s="51">
        <f t="shared" si="2"/>
        <v>0</v>
      </c>
      <c r="H14" s="51">
        <f t="shared" si="12"/>
        <v>0</v>
      </c>
      <c r="I14" s="51">
        <f t="shared" si="3"/>
        <v>0</v>
      </c>
      <c r="J14" s="2">
        <f t="shared" si="13"/>
        <v>0</v>
      </c>
      <c r="K14" s="53"/>
      <c r="L14" s="22">
        <f t="shared" si="4"/>
        <v>0</v>
      </c>
      <c r="M14" s="22">
        <f t="shared" si="5"/>
        <v>0</v>
      </c>
      <c r="N14" s="44">
        <f t="shared" si="6"/>
        <v>0</v>
      </c>
      <c r="O14" s="44">
        <f t="shared" si="7"/>
        <v>0</v>
      </c>
      <c r="P14" s="60">
        <f t="shared" si="8"/>
        <v>0</v>
      </c>
      <c r="Q14" s="44">
        <f t="shared" si="9"/>
        <v>0</v>
      </c>
      <c r="R14" s="2">
        <f t="shared" si="10"/>
        <v>0</v>
      </c>
    </row>
    <row r="15" spans="1:18" ht="15.75">
      <c r="A15" s="220"/>
      <c r="B15" s="53"/>
      <c r="C15" s="50">
        <f t="shared" si="0"/>
        <v>0</v>
      </c>
      <c r="D15" s="64">
        <f t="shared" si="1"/>
        <v>0</v>
      </c>
      <c r="E15" s="64">
        <v>1</v>
      </c>
      <c r="F15" s="64">
        <f t="shared" si="11"/>
        <v>0</v>
      </c>
      <c r="G15" s="51">
        <f t="shared" si="2"/>
        <v>0</v>
      </c>
      <c r="H15" s="51">
        <f t="shared" si="12"/>
        <v>0</v>
      </c>
      <c r="I15" s="51">
        <f t="shared" si="3"/>
        <v>0</v>
      </c>
      <c r="J15" s="2">
        <f t="shared" si="13"/>
        <v>0</v>
      </c>
      <c r="K15" s="53"/>
      <c r="L15" s="22">
        <f t="shared" si="4"/>
        <v>0</v>
      </c>
      <c r="M15" s="22">
        <f t="shared" si="5"/>
        <v>0</v>
      </c>
      <c r="N15" s="44">
        <f t="shared" si="6"/>
        <v>0</v>
      </c>
      <c r="O15" s="44">
        <f t="shared" si="7"/>
        <v>0</v>
      </c>
      <c r="P15" s="60">
        <f t="shared" si="8"/>
        <v>0</v>
      </c>
      <c r="Q15" s="44">
        <f t="shared" si="9"/>
        <v>0</v>
      </c>
      <c r="R15" s="2">
        <f t="shared" si="10"/>
        <v>0</v>
      </c>
    </row>
    <row r="16" spans="1:18" ht="15.75">
      <c r="A16" s="220"/>
      <c r="B16" s="53"/>
      <c r="C16" s="50">
        <f t="shared" si="0"/>
        <v>0</v>
      </c>
      <c r="D16" s="64">
        <f t="shared" si="1"/>
        <v>0</v>
      </c>
      <c r="E16" s="64">
        <v>1</v>
      </c>
      <c r="F16" s="64">
        <f t="shared" si="11"/>
        <v>0</v>
      </c>
      <c r="G16" s="51">
        <f t="shared" si="2"/>
        <v>0</v>
      </c>
      <c r="H16" s="51">
        <f t="shared" si="12"/>
        <v>0</v>
      </c>
      <c r="I16" s="51">
        <f t="shared" si="3"/>
        <v>0</v>
      </c>
      <c r="J16" s="2">
        <f t="shared" si="13"/>
        <v>0</v>
      </c>
      <c r="K16" s="53"/>
      <c r="L16" s="22">
        <f t="shared" si="4"/>
        <v>0</v>
      </c>
      <c r="M16" s="22">
        <f t="shared" si="5"/>
        <v>0</v>
      </c>
      <c r="N16" s="44">
        <f t="shared" si="6"/>
        <v>0</v>
      </c>
      <c r="O16" s="44">
        <f t="shared" si="7"/>
        <v>0</v>
      </c>
      <c r="P16" s="60">
        <f t="shared" si="8"/>
        <v>0</v>
      </c>
      <c r="Q16" s="44">
        <f t="shared" si="9"/>
        <v>0</v>
      </c>
      <c r="R16" s="2">
        <f t="shared" si="10"/>
        <v>0</v>
      </c>
    </row>
    <row r="17" spans="1:18" ht="15.75">
      <c r="A17" s="220"/>
      <c r="B17" s="53"/>
      <c r="C17" s="50">
        <f t="shared" si="0"/>
        <v>0</v>
      </c>
      <c r="D17" s="64">
        <f t="shared" si="1"/>
        <v>0</v>
      </c>
      <c r="E17" s="64">
        <v>1</v>
      </c>
      <c r="F17" s="64">
        <f t="shared" si="11"/>
        <v>0</v>
      </c>
      <c r="G17" s="51">
        <f t="shared" si="2"/>
        <v>0</v>
      </c>
      <c r="H17" s="51">
        <f t="shared" si="12"/>
        <v>0</v>
      </c>
      <c r="I17" s="51">
        <f t="shared" si="3"/>
        <v>0</v>
      </c>
      <c r="J17" s="2">
        <f t="shared" si="13"/>
        <v>0</v>
      </c>
      <c r="K17" s="53"/>
      <c r="L17" s="22">
        <f t="shared" si="4"/>
        <v>0</v>
      </c>
      <c r="M17" s="22">
        <f t="shared" si="5"/>
        <v>0</v>
      </c>
      <c r="N17" s="44">
        <f t="shared" si="6"/>
        <v>0</v>
      </c>
      <c r="O17" s="44">
        <f t="shared" si="7"/>
        <v>0</v>
      </c>
      <c r="P17" s="60">
        <f t="shared" si="8"/>
        <v>0</v>
      </c>
      <c r="Q17" s="44">
        <f t="shared" si="9"/>
        <v>0</v>
      </c>
      <c r="R17" s="2">
        <f t="shared" si="10"/>
        <v>0</v>
      </c>
    </row>
    <row r="18" spans="1:18" ht="15.75">
      <c r="A18" s="220"/>
      <c r="B18" s="53"/>
      <c r="C18" s="50">
        <f t="shared" si="0"/>
        <v>0</v>
      </c>
      <c r="D18" s="64">
        <f t="shared" si="1"/>
        <v>0</v>
      </c>
      <c r="E18" s="64">
        <v>1</v>
      </c>
      <c r="F18" s="64">
        <f t="shared" si="11"/>
        <v>0</v>
      </c>
      <c r="G18" s="51">
        <f t="shared" si="2"/>
        <v>0</v>
      </c>
      <c r="H18" s="51">
        <f t="shared" si="12"/>
        <v>0</v>
      </c>
      <c r="I18" s="51">
        <f t="shared" si="3"/>
        <v>0</v>
      </c>
      <c r="J18" s="2">
        <f t="shared" si="13"/>
        <v>0</v>
      </c>
      <c r="K18" s="53"/>
      <c r="L18" s="22">
        <f t="shared" si="4"/>
        <v>0</v>
      </c>
      <c r="M18" s="22">
        <f t="shared" si="5"/>
        <v>0</v>
      </c>
      <c r="N18" s="44">
        <f t="shared" si="6"/>
        <v>0</v>
      </c>
      <c r="O18" s="44">
        <f t="shared" si="7"/>
        <v>0</v>
      </c>
      <c r="P18" s="60">
        <f t="shared" si="8"/>
        <v>0</v>
      </c>
      <c r="Q18" s="44">
        <f t="shared" si="9"/>
        <v>0</v>
      </c>
      <c r="R18" s="2">
        <f t="shared" si="10"/>
        <v>0</v>
      </c>
    </row>
    <row r="19" spans="1:18" ht="15.75">
      <c r="A19" s="220"/>
      <c r="B19" s="53"/>
      <c r="C19" s="50">
        <f t="shared" si="0"/>
        <v>0</v>
      </c>
      <c r="D19" s="64">
        <f t="shared" si="1"/>
        <v>0</v>
      </c>
      <c r="E19" s="64">
        <v>1</v>
      </c>
      <c r="F19" s="64">
        <f t="shared" si="11"/>
        <v>0</v>
      </c>
      <c r="G19" s="51">
        <f t="shared" si="2"/>
        <v>0</v>
      </c>
      <c r="H19" s="51">
        <f t="shared" si="12"/>
        <v>0</v>
      </c>
      <c r="I19" s="51">
        <f t="shared" si="3"/>
        <v>0</v>
      </c>
      <c r="J19" s="2">
        <f t="shared" si="13"/>
        <v>0</v>
      </c>
      <c r="K19" s="53"/>
      <c r="L19" s="22">
        <f t="shared" si="4"/>
        <v>0</v>
      </c>
      <c r="M19" s="22">
        <f t="shared" si="5"/>
        <v>0</v>
      </c>
      <c r="N19" s="44">
        <f t="shared" si="6"/>
        <v>0</v>
      </c>
      <c r="O19" s="44">
        <f t="shared" si="7"/>
        <v>0</v>
      </c>
      <c r="P19" s="60">
        <f t="shared" si="8"/>
        <v>0</v>
      </c>
      <c r="Q19" s="44">
        <f t="shared" si="9"/>
        <v>0</v>
      </c>
      <c r="R19" s="2">
        <f t="shared" si="10"/>
        <v>0</v>
      </c>
    </row>
    <row r="20" spans="1:18" ht="16.5" thickBot="1">
      <c r="A20" s="220"/>
      <c r="B20" s="53"/>
      <c r="C20" s="50">
        <f t="shared" si="0"/>
        <v>0</v>
      </c>
      <c r="D20" s="64">
        <f t="shared" si="1"/>
        <v>0</v>
      </c>
      <c r="E20" s="64">
        <v>1</v>
      </c>
      <c r="F20" s="64">
        <f t="shared" si="11"/>
        <v>0</v>
      </c>
      <c r="G20" s="51">
        <f t="shared" si="2"/>
        <v>0</v>
      </c>
      <c r="H20" s="51">
        <f t="shared" si="12"/>
        <v>0</v>
      </c>
      <c r="I20" s="51">
        <f t="shared" si="3"/>
        <v>0</v>
      </c>
      <c r="J20" s="2">
        <f t="shared" si="13"/>
        <v>0</v>
      </c>
      <c r="K20" s="53"/>
      <c r="L20" s="22">
        <f t="shared" si="4"/>
        <v>0</v>
      </c>
      <c r="M20" s="22">
        <f t="shared" si="5"/>
        <v>0</v>
      </c>
      <c r="N20" s="44">
        <f t="shared" si="6"/>
        <v>0</v>
      </c>
      <c r="O20" s="44">
        <f t="shared" si="7"/>
        <v>0</v>
      </c>
      <c r="P20" s="60">
        <f t="shared" si="8"/>
        <v>0</v>
      </c>
      <c r="Q20" s="44">
        <f t="shared" si="9"/>
        <v>0</v>
      </c>
      <c r="R20" s="2">
        <f t="shared" si="10"/>
        <v>0</v>
      </c>
    </row>
    <row r="21" spans="1:18" ht="16.5" thickBot="1">
      <c r="A21" s="21"/>
      <c r="B21" s="23" t="s">
        <v>163</v>
      </c>
      <c r="C21" s="24"/>
      <c r="D21" s="24"/>
      <c r="E21" s="24"/>
      <c r="F21" s="24">
        <f>+SUM(F3:F20)</f>
        <v>0</v>
      </c>
      <c r="G21" s="45"/>
      <c r="H21" s="45">
        <f>+SUM(H3:H20)</f>
        <v>0</v>
      </c>
      <c r="J21" s="45">
        <f>+SUM(J3:J20)</f>
        <v>0</v>
      </c>
      <c r="K21" s="24"/>
      <c r="L21" s="25"/>
      <c r="M21" s="26">
        <f>+SUM(M3:M20)</f>
        <v>0</v>
      </c>
      <c r="N21" s="45"/>
      <c r="O21" s="61"/>
      <c r="P21" s="45">
        <f>+SUM(P3:P20)</f>
        <v>0</v>
      </c>
      <c r="Q21" s="171">
        <f>+SUM(Q3:Q20)</f>
        <v>0</v>
      </c>
      <c r="R21" s="2">
        <f>+SUM(R3:R20)</f>
        <v>0</v>
      </c>
    </row>
    <row r="22" spans="1:14" ht="15.75">
      <c r="A22" s="21"/>
      <c r="B22" s="21"/>
      <c r="C22" s="21"/>
      <c r="D22" s="21"/>
      <c r="E22" s="21"/>
      <c r="F22" s="21"/>
      <c r="G22" s="21"/>
      <c r="H22" s="21"/>
      <c r="I22" s="44"/>
      <c r="J22" s="44"/>
      <c r="K22" s="22"/>
      <c r="L22" s="21"/>
      <c r="M22" s="21"/>
      <c r="N22" s="21"/>
    </row>
  </sheetData>
  <mergeCells count="2">
    <mergeCell ref="B1:M1"/>
    <mergeCell ref="A4:A20"/>
  </mergeCells>
  <dataValidations count="3">
    <dataValidation type="list" allowBlank="1" showInputMessage="1" showErrorMessage="1" sqref="B3:B20">
      <formula1>harvest_implement_list</formula1>
    </dataValidation>
    <dataValidation type="list" allowBlank="1" showInputMessage="1" showErrorMessage="1" sqref="K21">
      <formula1>tractor_list</formula1>
    </dataValidation>
    <dataValidation type="list" allowBlank="1" showInputMessage="1" showErrorMessage="1" sqref="K3:K20">
      <formula1>tractor_combine_list</formula1>
    </dataValidation>
  </dataValidations>
  <hyperlinks>
    <hyperlink ref="A1" location="Main!B16" display="Return to Main Budget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pane xSplit="1" ySplit="2" topLeftCell="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2.75"/>
  <cols>
    <col min="1" max="1" width="23.57421875" style="0" bestFit="1" customWidth="1"/>
    <col min="2" max="2" width="19.8515625" style="0" bestFit="1" customWidth="1"/>
    <col min="3" max="3" width="11.28125" style="0" bestFit="1" customWidth="1"/>
    <col min="4" max="7" width="11.28125" style="0" customWidth="1"/>
    <col min="8" max="8" width="8.28125" style="0" bestFit="1" customWidth="1"/>
    <col min="9" max="9" width="10.421875" style="0" bestFit="1" customWidth="1"/>
    <col min="10" max="10" width="8.421875" style="0" bestFit="1" customWidth="1"/>
    <col min="11" max="12" width="8.7109375" style="0" bestFit="1" customWidth="1"/>
    <col min="13" max="13" width="8.57421875" style="0" bestFit="1" customWidth="1"/>
    <col min="14" max="15" width="7.140625" style="0" bestFit="1" customWidth="1"/>
    <col min="16" max="16" width="4.421875" style="0" bestFit="1" customWidth="1"/>
    <col min="17" max="17" width="10.7109375" style="0" bestFit="1" customWidth="1"/>
    <col min="18" max="18" width="11.28125" style="0" bestFit="1" customWidth="1"/>
    <col min="19" max="19" width="7.7109375" style="0" customWidth="1"/>
    <col min="20" max="20" width="12.421875" style="0" customWidth="1"/>
    <col min="21" max="21" width="13.28125" style="0" bestFit="1" customWidth="1"/>
    <col min="22" max="22" width="12.28125" style="0" bestFit="1" customWidth="1"/>
    <col min="23" max="23" width="11.421875" style="0" customWidth="1"/>
    <col min="24" max="24" width="12.57421875" style="0" bestFit="1" customWidth="1"/>
    <col min="25" max="25" width="11.28125" style="0" bestFit="1" customWidth="1"/>
    <col min="26" max="26" width="8.7109375" style="0" bestFit="1" customWidth="1"/>
  </cols>
  <sheetData>
    <row r="1" spans="1:2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ht="30">
      <c r="A2" s="4" t="s">
        <v>253</v>
      </c>
      <c r="B2" s="55" t="s">
        <v>47</v>
      </c>
      <c r="C2" s="55" t="s">
        <v>48</v>
      </c>
      <c r="D2" s="55" t="s">
        <v>355</v>
      </c>
      <c r="E2" s="55" t="s">
        <v>356</v>
      </c>
      <c r="F2" s="55" t="s">
        <v>357</v>
      </c>
      <c r="G2" s="55" t="s">
        <v>83</v>
      </c>
      <c r="H2" s="55" t="s">
        <v>49</v>
      </c>
      <c r="I2" s="55" t="s">
        <v>50</v>
      </c>
      <c r="J2" s="55" t="s">
        <v>51</v>
      </c>
      <c r="K2" s="55" t="s">
        <v>52</v>
      </c>
      <c r="L2" s="55" t="s">
        <v>53</v>
      </c>
      <c r="M2" s="55" t="s">
        <v>54</v>
      </c>
      <c r="N2" s="56" t="s">
        <v>84</v>
      </c>
      <c r="O2" s="46" t="s">
        <v>85</v>
      </c>
      <c r="P2" s="55" t="s">
        <v>86</v>
      </c>
      <c r="Q2" s="55" t="s">
        <v>87</v>
      </c>
      <c r="R2" s="55" t="s">
        <v>286</v>
      </c>
      <c r="S2" s="55" t="s">
        <v>287</v>
      </c>
      <c r="T2" s="65" t="s">
        <v>314</v>
      </c>
      <c r="U2" s="66" t="s">
        <v>315</v>
      </c>
      <c r="V2" s="66" t="s">
        <v>319</v>
      </c>
      <c r="W2" s="66" t="s">
        <v>316</v>
      </c>
      <c r="X2" s="66" t="s">
        <v>317</v>
      </c>
      <c r="Y2" s="66" t="s">
        <v>320</v>
      </c>
      <c r="Z2" s="66" t="s">
        <v>321</v>
      </c>
    </row>
    <row r="3" spans="1:26" ht="12.75">
      <c r="A3" t="str">
        <f>CONCATENATE(B3,C3)</f>
        <v>Cotton Picker-2R36"157hp</v>
      </c>
      <c r="B3" s="47" t="s">
        <v>254</v>
      </c>
      <c r="C3" s="47" t="s">
        <v>379</v>
      </c>
      <c r="D3" s="3">
        <f>2*3</f>
        <v>6</v>
      </c>
      <c r="E3" s="3">
        <v>3.6</v>
      </c>
      <c r="F3" s="3">
        <v>0.7</v>
      </c>
      <c r="G3" s="81">
        <f>1/((D3*E3*5280*F3)/43560)</f>
        <v>0.5456349206349206</v>
      </c>
      <c r="H3" s="47">
        <v>8.08</v>
      </c>
      <c r="I3" s="47">
        <v>131738</v>
      </c>
      <c r="J3" s="47">
        <v>30</v>
      </c>
      <c r="K3" s="47">
        <v>25</v>
      </c>
      <c r="L3" s="47">
        <v>8</v>
      </c>
      <c r="M3" s="47">
        <v>200</v>
      </c>
      <c r="N3" s="49">
        <v>6.7</v>
      </c>
      <c r="O3" s="3">
        <v>3.6</v>
      </c>
      <c r="P3" s="47">
        <v>70</v>
      </c>
      <c r="Q3" s="47">
        <v>2.04655</v>
      </c>
      <c r="R3" s="2">
        <f aca="true" t="shared" si="0" ref="R3:R12">+(I3*K3/100)/L3</f>
        <v>4116.8125</v>
      </c>
      <c r="S3" s="2">
        <f aca="true" t="shared" si="1" ref="S3:S12">+R3/M3</f>
        <v>20.5840625</v>
      </c>
      <c r="T3" s="2">
        <f>+(I3*J3/100)</f>
        <v>39521.4</v>
      </c>
      <c r="U3" s="2">
        <f aca="true" t="shared" si="2" ref="U3:U12">+T3/L3</f>
        <v>4940.175</v>
      </c>
      <c r="V3" s="2">
        <f>+(I3+T3)/2</f>
        <v>85629.7</v>
      </c>
      <c r="W3" s="2">
        <f aca="true" t="shared" si="3" ref="W3:W12">+V3*iir</f>
        <v>7706.673</v>
      </c>
      <c r="X3" s="2">
        <f aca="true" t="shared" si="4" ref="X3:X12">+V3*ins_tax</f>
        <v>2055.1128</v>
      </c>
      <c r="Y3" s="2">
        <f>+X3+W3+U3</f>
        <v>14701.9608</v>
      </c>
      <c r="Z3" s="2">
        <f aca="true" t="shared" si="5" ref="Z3:Z12">+Y3/M3</f>
        <v>73.509804</v>
      </c>
    </row>
    <row r="4" spans="1:26" ht="12.75">
      <c r="A4" s="142" t="str">
        <f aca="true" t="shared" si="6" ref="A4:A12">CONCATENATE(B4,C4)</f>
        <v>Cotton Picker-4R20X1260hp</v>
      </c>
      <c r="B4" s="140" t="s">
        <v>254</v>
      </c>
      <c r="C4" s="140" t="s">
        <v>378</v>
      </c>
      <c r="D4" s="143">
        <f>4*1.66666666666667</f>
        <v>6.666666666666667</v>
      </c>
      <c r="E4" s="143">
        <v>3.6</v>
      </c>
      <c r="F4" s="143">
        <v>0.7</v>
      </c>
      <c r="G4" s="144">
        <f aca="true" t="shared" si="7" ref="G4:G12">1/((D4*E4*5280*F4)/43560)</f>
        <v>0.4910714285714286</v>
      </c>
      <c r="H4" s="140">
        <v>13.33</v>
      </c>
      <c r="I4" s="140">
        <v>221834</v>
      </c>
      <c r="J4" s="47">
        <v>30</v>
      </c>
      <c r="K4" s="47">
        <v>25</v>
      </c>
      <c r="L4" s="47">
        <v>8</v>
      </c>
      <c r="M4" s="47">
        <v>200</v>
      </c>
      <c r="N4" s="49">
        <v>20</v>
      </c>
      <c r="O4" s="3">
        <v>3.6</v>
      </c>
      <c r="P4" s="47">
        <v>70</v>
      </c>
      <c r="Q4" s="47">
        <v>6.10909</v>
      </c>
      <c r="R4" s="2">
        <f t="shared" si="0"/>
        <v>6932.3125</v>
      </c>
      <c r="S4" s="2">
        <f t="shared" si="1"/>
        <v>34.6615625</v>
      </c>
      <c r="T4" s="2">
        <f aca="true" t="shared" si="8" ref="T4:T12">+(I4*J4/100)</f>
        <v>66550.2</v>
      </c>
      <c r="U4" s="2">
        <f t="shared" si="2"/>
        <v>8318.775</v>
      </c>
      <c r="V4" s="2">
        <f aca="true" t="shared" si="9" ref="V4:V19">+(I4+T4)/2</f>
        <v>144192.1</v>
      </c>
      <c r="W4" s="2">
        <f t="shared" si="3"/>
        <v>12977.289</v>
      </c>
      <c r="X4" s="2">
        <f t="shared" si="4"/>
        <v>3460.6104</v>
      </c>
      <c r="Y4" s="2">
        <f aca="true" t="shared" si="10" ref="Y4:Y12">+X4+W4+U4</f>
        <v>24756.674400000004</v>
      </c>
      <c r="Z4" s="2">
        <f t="shared" si="5"/>
        <v>123.78337200000001</v>
      </c>
    </row>
    <row r="5" spans="1:26" ht="12.75">
      <c r="A5" t="str">
        <f t="shared" si="6"/>
        <v>Cotton Picker-4R30"255hp</v>
      </c>
      <c r="B5" s="47" t="s">
        <v>254</v>
      </c>
      <c r="C5" s="47" t="s">
        <v>156</v>
      </c>
      <c r="D5" s="3">
        <f>4*2.5</f>
        <v>10</v>
      </c>
      <c r="E5" s="3">
        <v>3.6</v>
      </c>
      <c r="F5" s="3">
        <v>0.7</v>
      </c>
      <c r="G5" s="81">
        <f t="shared" si="7"/>
        <v>0.3273809523809524</v>
      </c>
      <c r="H5" s="47">
        <v>13.125</v>
      </c>
      <c r="I5" s="141">
        <v>238204</v>
      </c>
      <c r="J5" s="47">
        <v>30</v>
      </c>
      <c r="K5" s="47">
        <v>25</v>
      </c>
      <c r="L5" s="47">
        <v>8</v>
      </c>
      <c r="M5" s="47">
        <v>200</v>
      </c>
      <c r="N5" s="49">
        <v>10</v>
      </c>
      <c r="O5" s="3">
        <v>3.6</v>
      </c>
      <c r="P5" s="47">
        <v>70</v>
      </c>
      <c r="Q5" s="47">
        <v>3.05455</v>
      </c>
      <c r="R5" s="2">
        <f t="shared" si="0"/>
        <v>7443.875</v>
      </c>
      <c r="S5" s="2">
        <f t="shared" si="1"/>
        <v>37.219375</v>
      </c>
      <c r="T5" s="2">
        <f t="shared" si="8"/>
        <v>71461.2</v>
      </c>
      <c r="U5" s="2">
        <f t="shared" si="2"/>
        <v>8932.65</v>
      </c>
      <c r="V5" s="2">
        <f t="shared" si="9"/>
        <v>154832.6</v>
      </c>
      <c r="W5" s="2">
        <f t="shared" si="3"/>
        <v>13934.934</v>
      </c>
      <c r="X5" s="2">
        <f t="shared" si="4"/>
        <v>3715.9824000000003</v>
      </c>
      <c r="Y5" s="2">
        <f t="shared" si="10"/>
        <v>26583.566399999996</v>
      </c>
      <c r="Z5" s="2">
        <f t="shared" si="5"/>
        <v>132.91783199999998</v>
      </c>
    </row>
    <row r="6" spans="1:26" ht="12.75">
      <c r="A6" t="str">
        <f t="shared" si="6"/>
        <v>Cotton Picker-4R30"325hp</v>
      </c>
      <c r="B6" s="47" t="s">
        <v>254</v>
      </c>
      <c r="C6" s="47" t="s">
        <v>159</v>
      </c>
      <c r="D6" s="3">
        <f>4*2.5</f>
        <v>10</v>
      </c>
      <c r="E6" s="3">
        <v>3.6</v>
      </c>
      <c r="F6" s="3">
        <v>0.7</v>
      </c>
      <c r="G6" s="81">
        <f t="shared" si="7"/>
        <v>0.3273809523809524</v>
      </c>
      <c r="H6" s="47">
        <v>16.729</v>
      </c>
      <c r="I6" s="141">
        <v>318474</v>
      </c>
      <c r="J6" s="47">
        <v>30</v>
      </c>
      <c r="K6" s="47">
        <v>25</v>
      </c>
      <c r="L6" s="47">
        <v>8</v>
      </c>
      <c r="M6" s="47">
        <v>200</v>
      </c>
      <c r="N6" s="49">
        <v>10</v>
      </c>
      <c r="O6" s="3">
        <v>3.6</v>
      </c>
      <c r="P6" s="47">
        <v>70</v>
      </c>
      <c r="Q6" s="47">
        <v>3.05455</v>
      </c>
      <c r="R6" s="2">
        <f t="shared" si="0"/>
        <v>9952.3125</v>
      </c>
      <c r="S6" s="2">
        <f t="shared" si="1"/>
        <v>49.7615625</v>
      </c>
      <c r="T6" s="2">
        <f t="shared" si="8"/>
        <v>95542.2</v>
      </c>
      <c r="U6" s="2">
        <f t="shared" si="2"/>
        <v>11942.775</v>
      </c>
      <c r="V6" s="2">
        <f t="shared" si="9"/>
        <v>207008.1</v>
      </c>
      <c r="W6" s="2">
        <f t="shared" si="3"/>
        <v>18630.729</v>
      </c>
      <c r="X6" s="2">
        <f t="shared" si="4"/>
        <v>4968.1944</v>
      </c>
      <c r="Y6" s="2">
        <f t="shared" si="10"/>
        <v>35541.6984</v>
      </c>
      <c r="Z6" s="2">
        <f t="shared" si="5"/>
        <v>177.708492</v>
      </c>
    </row>
    <row r="7" spans="1:26" ht="12.75">
      <c r="A7" t="str">
        <f t="shared" si="6"/>
        <v>Cotton Picker-4R36"255hp</v>
      </c>
      <c r="B7" s="47" t="s">
        <v>254</v>
      </c>
      <c r="C7" s="47" t="s">
        <v>380</v>
      </c>
      <c r="D7" s="3">
        <f>4*3</f>
        <v>12</v>
      </c>
      <c r="E7" s="3">
        <v>3.6</v>
      </c>
      <c r="F7" s="3">
        <v>0.7</v>
      </c>
      <c r="G7" s="81">
        <f t="shared" si="7"/>
        <v>0.2728174603174603</v>
      </c>
      <c r="H7" s="47">
        <v>13.125</v>
      </c>
      <c r="I7" s="141">
        <v>236458</v>
      </c>
      <c r="J7" s="47">
        <v>30</v>
      </c>
      <c r="K7" s="47">
        <v>25</v>
      </c>
      <c r="L7" s="47">
        <v>8</v>
      </c>
      <c r="M7" s="47">
        <v>200</v>
      </c>
      <c r="N7" s="49">
        <v>13.3</v>
      </c>
      <c r="O7" s="3">
        <v>3.6</v>
      </c>
      <c r="P7" s="47">
        <v>70</v>
      </c>
      <c r="Q7" s="47">
        <v>4.06255</v>
      </c>
      <c r="R7" s="2">
        <f t="shared" si="0"/>
        <v>7389.3125</v>
      </c>
      <c r="S7" s="2">
        <f t="shared" si="1"/>
        <v>36.9465625</v>
      </c>
      <c r="T7" s="2">
        <f t="shared" si="8"/>
        <v>70937.4</v>
      </c>
      <c r="U7" s="2">
        <f t="shared" si="2"/>
        <v>8867.175</v>
      </c>
      <c r="V7" s="2">
        <f t="shared" si="9"/>
        <v>153697.7</v>
      </c>
      <c r="W7" s="2">
        <f t="shared" si="3"/>
        <v>13832.793</v>
      </c>
      <c r="X7" s="2">
        <f t="shared" si="4"/>
        <v>3688.7448000000004</v>
      </c>
      <c r="Y7" s="2">
        <f t="shared" si="10"/>
        <v>26388.712799999998</v>
      </c>
      <c r="Z7" s="2">
        <f t="shared" si="5"/>
        <v>131.94356399999998</v>
      </c>
    </row>
    <row r="8" spans="1:26" ht="12.75">
      <c r="A8" t="str">
        <f t="shared" si="6"/>
        <v>Cotton Picker-4R36"325hp</v>
      </c>
      <c r="B8" s="47" t="s">
        <v>254</v>
      </c>
      <c r="C8" s="47" t="s">
        <v>381</v>
      </c>
      <c r="D8" s="3">
        <f>4*3</f>
        <v>12</v>
      </c>
      <c r="E8" s="3">
        <v>3.6</v>
      </c>
      <c r="F8" s="3">
        <v>0.7</v>
      </c>
      <c r="G8" s="81">
        <f t="shared" si="7"/>
        <v>0.2728174603174603</v>
      </c>
      <c r="H8" s="47">
        <v>16.729</v>
      </c>
      <c r="I8" s="141">
        <v>319294</v>
      </c>
      <c r="J8" s="47">
        <v>30</v>
      </c>
      <c r="K8" s="47">
        <v>25</v>
      </c>
      <c r="L8" s="47">
        <v>8</v>
      </c>
      <c r="M8" s="47">
        <v>200</v>
      </c>
      <c r="N8" s="49">
        <v>13.3</v>
      </c>
      <c r="O8" s="3">
        <v>3.6</v>
      </c>
      <c r="P8" s="47">
        <v>70</v>
      </c>
      <c r="Q8" s="47">
        <v>4.06255</v>
      </c>
      <c r="R8" s="2">
        <f t="shared" si="0"/>
        <v>9977.9375</v>
      </c>
      <c r="S8" s="2">
        <f t="shared" si="1"/>
        <v>49.8896875</v>
      </c>
      <c r="T8" s="2">
        <f t="shared" si="8"/>
        <v>95788.2</v>
      </c>
      <c r="U8" s="2">
        <f t="shared" si="2"/>
        <v>11973.525</v>
      </c>
      <c r="V8" s="2">
        <f t="shared" si="9"/>
        <v>207541.1</v>
      </c>
      <c r="W8" s="2">
        <f t="shared" si="3"/>
        <v>18678.699</v>
      </c>
      <c r="X8" s="2">
        <f t="shared" si="4"/>
        <v>4980.986400000001</v>
      </c>
      <c r="Y8" s="2">
        <f t="shared" si="10"/>
        <v>35633.2104</v>
      </c>
      <c r="Z8" s="2">
        <f t="shared" si="5"/>
        <v>178.166052</v>
      </c>
    </row>
    <row r="9" spans="1:26" ht="12.75">
      <c r="A9" t="str">
        <f t="shared" si="6"/>
        <v>Cotton Picker-5R30"255hp</v>
      </c>
      <c r="B9" s="47" t="s">
        <v>254</v>
      </c>
      <c r="C9" s="47" t="s">
        <v>157</v>
      </c>
      <c r="D9" s="3">
        <f>5*2.5</f>
        <v>12.5</v>
      </c>
      <c r="E9" s="3">
        <v>3.6</v>
      </c>
      <c r="F9" s="3">
        <v>0.7</v>
      </c>
      <c r="G9" s="81">
        <f t="shared" si="7"/>
        <v>0.2619047619047619</v>
      </c>
      <c r="H9" s="47">
        <v>13.125</v>
      </c>
      <c r="I9" s="141">
        <v>244085</v>
      </c>
      <c r="J9" s="47">
        <v>30</v>
      </c>
      <c r="K9" s="47">
        <v>25</v>
      </c>
      <c r="L9" s="47">
        <v>8</v>
      </c>
      <c r="M9" s="47">
        <v>200</v>
      </c>
      <c r="N9" s="49">
        <v>12.5</v>
      </c>
      <c r="O9" s="3">
        <v>3.6</v>
      </c>
      <c r="P9" s="47">
        <v>70</v>
      </c>
      <c r="Q9" s="47">
        <v>3.81818</v>
      </c>
      <c r="R9" s="2">
        <f t="shared" si="0"/>
        <v>7627.65625</v>
      </c>
      <c r="S9" s="2">
        <f t="shared" si="1"/>
        <v>38.13828125</v>
      </c>
      <c r="T9" s="2">
        <f t="shared" si="8"/>
        <v>73225.5</v>
      </c>
      <c r="U9" s="2">
        <f t="shared" si="2"/>
        <v>9153.1875</v>
      </c>
      <c r="V9" s="2">
        <f t="shared" si="9"/>
        <v>158655.25</v>
      </c>
      <c r="W9" s="2">
        <f t="shared" si="3"/>
        <v>14278.9725</v>
      </c>
      <c r="X9" s="2">
        <f t="shared" si="4"/>
        <v>3807.726</v>
      </c>
      <c r="Y9" s="2">
        <f t="shared" si="10"/>
        <v>27239.886</v>
      </c>
      <c r="Z9" s="2">
        <f t="shared" si="5"/>
        <v>136.19943</v>
      </c>
    </row>
    <row r="10" spans="1:26" ht="12.75">
      <c r="A10" t="str">
        <f t="shared" si="6"/>
        <v>Cotton Picker-5R36"255hp</v>
      </c>
      <c r="B10" s="47" t="s">
        <v>254</v>
      </c>
      <c r="C10" s="47" t="s">
        <v>382</v>
      </c>
      <c r="D10" s="3">
        <f>5*3</f>
        <v>15</v>
      </c>
      <c r="E10" s="3">
        <v>3.6</v>
      </c>
      <c r="F10" s="3">
        <v>0.7</v>
      </c>
      <c r="G10" s="81">
        <f t="shared" si="7"/>
        <v>0.21825396825396826</v>
      </c>
      <c r="H10" s="47">
        <v>13.125</v>
      </c>
      <c r="I10" s="141">
        <v>261868</v>
      </c>
      <c r="J10" s="47">
        <v>30</v>
      </c>
      <c r="K10" s="47">
        <v>25</v>
      </c>
      <c r="L10" s="47">
        <v>8</v>
      </c>
      <c r="M10" s="47">
        <v>200</v>
      </c>
      <c r="N10" s="49">
        <v>16.7</v>
      </c>
      <c r="O10" s="3">
        <v>3.6</v>
      </c>
      <c r="P10" s="47">
        <v>70</v>
      </c>
      <c r="Q10" s="47">
        <v>5.10109</v>
      </c>
      <c r="R10" s="2">
        <f t="shared" si="0"/>
        <v>8183.375</v>
      </c>
      <c r="S10" s="2">
        <f t="shared" si="1"/>
        <v>40.916875</v>
      </c>
      <c r="T10" s="2">
        <f t="shared" si="8"/>
        <v>78560.4</v>
      </c>
      <c r="U10" s="2">
        <f t="shared" si="2"/>
        <v>9820.05</v>
      </c>
      <c r="V10" s="2">
        <f t="shared" si="9"/>
        <v>170214.2</v>
      </c>
      <c r="W10" s="2">
        <f t="shared" si="3"/>
        <v>15319.278</v>
      </c>
      <c r="X10" s="2">
        <f t="shared" si="4"/>
        <v>4085.1408000000006</v>
      </c>
      <c r="Y10" s="2">
        <f t="shared" si="10"/>
        <v>29224.4688</v>
      </c>
      <c r="Z10" s="2">
        <f t="shared" si="5"/>
        <v>146.122344</v>
      </c>
    </row>
    <row r="11" spans="1:26" ht="12.75">
      <c r="A11" t="str">
        <f t="shared" si="6"/>
        <v>Cotton Picker-6R30"325hp</v>
      </c>
      <c r="B11" s="47" t="s">
        <v>254</v>
      </c>
      <c r="C11" s="47" t="s">
        <v>160</v>
      </c>
      <c r="D11" s="3">
        <f>6*2.5</f>
        <v>15</v>
      </c>
      <c r="E11" s="3">
        <v>3.6</v>
      </c>
      <c r="F11" s="3">
        <v>0.7</v>
      </c>
      <c r="G11" s="81">
        <f t="shared" si="7"/>
        <v>0.21825396825396826</v>
      </c>
      <c r="H11" s="47">
        <v>16.729</v>
      </c>
      <c r="I11" s="141">
        <v>376745</v>
      </c>
      <c r="J11" s="47">
        <v>30</v>
      </c>
      <c r="K11" s="47">
        <v>25</v>
      </c>
      <c r="L11" s="47">
        <v>8</v>
      </c>
      <c r="M11" s="47">
        <v>200</v>
      </c>
      <c r="N11" s="49">
        <v>15</v>
      </c>
      <c r="O11" s="3">
        <v>3.6</v>
      </c>
      <c r="P11" s="47">
        <v>70</v>
      </c>
      <c r="Q11" s="47">
        <v>4.58182</v>
      </c>
      <c r="R11" s="2">
        <f t="shared" si="0"/>
        <v>11773.28125</v>
      </c>
      <c r="S11" s="2">
        <f t="shared" si="1"/>
        <v>58.86640625</v>
      </c>
      <c r="T11" s="2">
        <f t="shared" si="8"/>
        <v>113023.5</v>
      </c>
      <c r="U11" s="2">
        <f t="shared" si="2"/>
        <v>14127.9375</v>
      </c>
      <c r="V11" s="2">
        <f t="shared" si="9"/>
        <v>244884.25</v>
      </c>
      <c r="W11" s="2">
        <f t="shared" si="3"/>
        <v>22039.5825</v>
      </c>
      <c r="X11" s="2">
        <f t="shared" si="4"/>
        <v>5877.222</v>
      </c>
      <c r="Y11" s="2">
        <f t="shared" si="10"/>
        <v>42044.742</v>
      </c>
      <c r="Z11" s="2">
        <f t="shared" si="5"/>
        <v>210.22370999999998</v>
      </c>
    </row>
    <row r="12" spans="1:26" ht="12.75">
      <c r="A12" t="str">
        <f t="shared" si="6"/>
        <v>Cotton Picker-6R36"325hp</v>
      </c>
      <c r="B12" s="47" t="s">
        <v>254</v>
      </c>
      <c r="C12" s="47" t="s">
        <v>383</v>
      </c>
      <c r="D12" s="3">
        <f>6*3</f>
        <v>18</v>
      </c>
      <c r="E12" s="3">
        <v>3.6</v>
      </c>
      <c r="F12" s="3">
        <v>0.7</v>
      </c>
      <c r="G12" s="81">
        <f t="shared" si="7"/>
        <v>0.1818783068783069</v>
      </c>
      <c r="H12" s="47">
        <v>16.729</v>
      </c>
      <c r="I12" s="141">
        <v>365763</v>
      </c>
      <c r="J12" s="47">
        <v>30</v>
      </c>
      <c r="K12" s="47">
        <v>25</v>
      </c>
      <c r="L12" s="47">
        <v>8</v>
      </c>
      <c r="M12" s="47">
        <v>200</v>
      </c>
      <c r="N12" s="49">
        <v>20</v>
      </c>
      <c r="O12" s="3">
        <v>3.6</v>
      </c>
      <c r="P12" s="47">
        <v>70</v>
      </c>
      <c r="Q12" s="47">
        <v>6.10909</v>
      </c>
      <c r="R12" s="2">
        <f t="shared" si="0"/>
        <v>11430.09375</v>
      </c>
      <c r="S12" s="2">
        <f t="shared" si="1"/>
        <v>57.15046875</v>
      </c>
      <c r="T12" s="2">
        <f t="shared" si="8"/>
        <v>109728.9</v>
      </c>
      <c r="U12" s="2">
        <f t="shared" si="2"/>
        <v>13716.1125</v>
      </c>
      <c r="V12" s="2">
        <f t="shared" si="9"/>
        <v>237745.95</v>
      </c>
      <c r="W12" s="2">
        <f t="shared" si="3"/>
        <v>21397.1355</v>
      </c>
      <c r="X12" s="2">
        <f t="shared" si="4"/>
        <v>5705.902800000001</v>
      </c>
      <c r="Y12" s="2">
        <f t="shared" si="10"/>
        <v>40819.1508</v>
      </c>
      <c r="Z12" s="2">
        <f t="shared" si="5"/>
        <v>204.09575400000003</v>
      </c>
    </row>
    <row r="13" spans="2:22" ht="12.75">
      <c r="B13" s="47"/>
      <c r="C13" s="47"/>
      <c r="D13" s="3"/>
      <c r="E13" s="47"/>
      <c r="F13" s="47"/>
      <c r="G13" s="47"/>
      <c r="H13" s="47"/>
      <c r="I13" s="141"/>
      <c r="J13" s="47"/>
      <c r="K13" s="47"/>
      <c r="L13" s="47"/>
      <c r="M13" s="47"/>
      <c r="N13" s="49"/>
      <c r="O13" s="3"/>
      <c r="P13" s="47"/>
      <c r="Q13" s="47"/>
      <c r="R13" s="2"/>
      <c r="S13" s="2"/>
      <c r="V13" s="2"/>
    </row>
    <row r="14" spans="1:26" ht="12.75">
      <c r="A14" t="str">
        <f aca="true" t="shared" si="11" ref="A14:A19">CONCATENATE(B14,C14)</f>
        <v>Sprayer (300-450 Gal)47'</v>
      </c>
      <c r="B14" s="47" t="s">
        <v>255</v>
      </c>
      <c r="C14" s="47" t="s">
        <v>123</v>
      </c>
      <c r="D14" s="3">
        <v>47</v>
      </c>
      <c r="E14" s="3">
        <v>12</v>
      </c>
      <c r="F14" s="3">
        <v>0.65</v>
      </c>
      <c r="G14" s="81">
        <f aca="true" t="shared" si="12" ref="G14:G19">1/((D14*E14*5280*F14)/43560)</f>
        <v>0.022504091653027823</v>
      </c>
      <c r="H14" s="47">
        <v>5.405</v>
      </c>
      <c r="I14" s="141">
        <v>67065</v>
      </c>
      <c r="J14" s="47">
        <v>30</v>
      </c>
      <c r="K14" s="47">
        <v>15</v>
      </c>
      <c r="L14" s="47">
        <v>8</v>
      </c>
      <c r="M14" s="47">
        <v>350</v>
      </c>
      <c r="N14" s="49">
        <v>47</v>
      </c>
      <c r="O14" s="3">
        <v>12</v>
      </c>
      <c r="P14" s="47">
        <v>65</v>
      </c>
      <c r="Q14" s="47">
        <v>44.43636</v>
      </c>
      <c r="R14" s="2">
        <f aca="true" t="shared" si="13" ref="R14:R19">+(I14*K14/100)/L14</f>
        <v>1257.46875</v>
      </c>
      <c r="S14" s="2">
        <f aca="true" t="shared" si="14" ref="S14:S19">+R14/M14</f>
        <v>3.592767857142857</v>
      </c>
      <c r="T14" s="2">
        <f aca="true" t="shared" si="15" ref="T14:T19">+(I14*J14/100)</f>
        <v>20119.5</v>
      </c>
      <c r="U14" s="2">
        <f aca="true" t="shared" si="16" ref="U14:U19">+T14/L14</f>
        <v>2514.9375</v>
      </c>
      <c r="V14" s="2">
        <f t="shared" si="9"/>
        <v>43592.25</v>
      </c>
      <c r="W14" s="2">
        <f aca="true" t="shared" si="17" ref="W14:W19">+V14*iir</f>
        <v>3923.3025</v>
      </c>
      <c r="X14" s="2">
        <f aca="true" t="shared" si="18" ref="X14:X19">+V14*ins_tax</f>
        <v>1046.214</v>
      </c>
      <c r="Y14" s="2">
        <f aca="true" t="shared" si="19" ref="Y14:Y19">+X14+W14+U14</f>
        <v>7484.454</v>
      </c>
      <c r="Z14" s="2">
        <f aca="true" t="shared" si="20" ref="Z14:Z19">+Y14/M14</f>
        <v>21.384154285714285</v>
      </c>
    </row>
    <row r="15" spans="1:26" ht="12.75">
      <c r="A15" t="str">
        <f t="shared" si="11"/>
        <v>Sprayer (300-450 Gal)60'</v>
      </c>
      <c r="B15" s="47" t="s">
        <v>255</v>
      </c>
      <c r="C15" s="47" t="s">
        <v>139</v>
      </c>
      <c r="D15" s="3">
        <v>60</v>
      </c>
      <c r="E15" s="3">
        <v>12</v>
      </c>
      <c r="F15" s="3">
        <v>0.65</v>
      </c>
      <c r="G15" s="81">
        <f t="shared" si="12"/>
        <v>0.017628205128205128</v>
      </c>
      <c r="H15" s="47">
        <v>5.662</v>
      </c>
      <c r="I15" s="141">
        <v>77512</v>
      </c>
      <c r="J15" s="47">
        <v>30</v>
      </c>
      <c r="K15" s="47">
        <v>15</v>
      </c>
      <c r="L15" s="47">
        <v>8</v>
      </c>
      <c r="M15" s="47">
        <v>350</v>
      </c>
      <c r="N15" s="49">
        <v>60</v>
      </c>
      <c r="O15" s="3">
        <v>12</v>
      </c>
      <c r="P15" s="47">
        <v>65</v>
      </c>
      <c r="Q15" s="47">
        <v>56.72727</v>
      </c>
      <c r="R15" s="2">
        <f t="shared" si="13"/>
        <v>1453.35</v>
      </c>
      <c r="S15" s="2">
        <f t="shared" si="14"/>
        <v>4.152428571428572</v>
      </c>
      <c r="T15" s="2">
        <f t="shared" si="15"/>
        <v>23253.6</v>
      </c>
      <c r="U15" s="2">
        <f t="shared" si="16"/>
        <v>2906.7</v>
      </c>
      <c r="V15" s="2">
        <f t="shared" si="9"/>
        <v>50382.8</v>
      </c>
      <c r="W15" s="2">
        <f t="shared" si="17"/>
        <v>4534.452</v>
      </c>
      <c r="X15" s="2">
        <f t="shared" si="18"/>
        <v>1209.1872</v>
      </c>
      <c r="Y15" s="2">
        <f t="shared" si="19"/>
        <v>8650.3392</v>
      </c>
      <c r="Z15" s="2">
        <f t="shared" si="20"/>
        <v>24.71525485714286</v>
      </c>
    </row>
    <row r="16" spans="1:26" ht="12.75">
      <c r="A16" t="str">
        <f t="shared" si="11"/>
        <v>Sprayer (300-450 Gal)80'</v>
      </c>
      <c r="B16" s="47" t="s">
        <v>255</v>
      </c>
      <c r="C16" s="47" t="s">
        <v>161</v>
      </c>
      <c r="D16" s="3">
        <v>80</v>
      </c>
      <c r="E16" s="3">
        <v>12</v>
      </c>
      <c r="F16" s="3">
        <v>0.65</v>
      </c>
      <c r="G16" s="81">
        <f t="shared" si="12"/>
        <v>0.013221153846153846</v>
      </c>
      <c r="H16" s="47">
        <v>5.662</v>
      </c>
      <c r="I16" s="141">
        <v>76429</v>
      </c>
      <c r="J16" s="47">
        <v>30</v>
      </c>
      <c r="K16" s="47">
        <v>15</v>
      </c>
      <c r="L16" s="47">
        <v>8</v>
      </c>
      <c r="M16" s="47">
        <v>350</v>
      </c>
      <c r="N16" s="49">
        <v>80</v>
      </c>
      <c r="O16" s="3">
        <v>12</v>
      </c>
      <c r="P16" s="47">
        <v>65</v>
      </c>
      <c r="Q16" s="47">
        <v>75.63636</v>
      </c>
      <c r="R16" s="2">
        <f t="shared" si="13"/>
        <v>1433.04375</v>
      </c>
      <c r="S16" s="2">
        <f t="shared" si="14"/>
        <v>4.094410714285714</v>
      </c>
      <c r="T16" s="2">
        <f t="shared" si="15"/>
        <v>22928.7</v>
      </c>
      <c r="U16" s="2">
        <f t="shared" si="16"/>
        <v>2866.0875</v>
      </c>
      <c r="V16" s="2">
        <f t="shared" si="9"/>
        <v>49678.85</v>
      </c>
      <c r="W16" s="2">
        <f t="shared" si="17"/>
        <v>4471.0965</v>
      </c>
      <c r="X16" s="2">
        <f t="shared" si="18"/>
        <v>1192.2924</v>
      </c>
      <c r="Y16" s="2">
        <f t="shared" si="19"/>
        <v>8529.4764</v>
      </c>
      <c r="Z16" s="2">
        <f t="shared" si="20"/>
        <v>24.36993257142857</v>
      </c>
    </row>
    <row r="17" spans="1:26" ht="12.75">
      <c r="A17" t="str">
        <f t="shared" si="11"/>
        <v>Sprayer (600-750 Gal)60'</v>
      </c>
      <c r="B17" s="47" t="s">
        <v>256</v>
      </c>
      <c r="C17" s="47" t="s">
        <v>139</v>
      </c>
      <c r="D17" s="3">
        <v>60</v>
      </c>
      <c r="E17" s="3">
        <v>12</v>
      </c>
      <c r="F17" s="3">
        <v>0.65</v>
      </c>
      <c r="G17" s="81">
        <f t="shared" si="12"/>
        <v>0.017628205128205128</v>
      </c>
      <c r="H17" s="47">
        <v>10.295</v>
      </c>
      <c r="I17" s="141">
        <v>138905</v>
      </c>
      <c r="J17" s="47">
        <v>30</v>
      </c>
      <c r="K17" s="47">
        <v>15</v>
      </c>
      <c r="L17" s="47">
        <v>8</v>
      </c>
      <c r="M17" s="47">
        <v>350</v>
      </c>
      <c r="N17" s="49">
        <v>60</v>
      </c>
      <c r="O17" s="3">
        <v>12</v>
      </c>
      <c r="P17" s="47">
        <v>65</v>
      </c>
      <c r="Q17" s="47">
        <v>56.72727</v>
      </c>
      <c r="R17" s="2">
        <f t="shared" si="13"/>
        <v>2604.46875</v>
      </c>
      <c r="S17" s="2">
        <f t="shared" si="14"/>
        <v>7.441339285714286</v>
      </c>
      <c r="T17" s="2">
        <f t="shared" si="15"/>
        <v>41671.5</v>
      </c>
      <c r="U17" s="2">
        <f t="shared" si="16"/>
        <v>5208.9375</v>
      </c>
      <c r="V17" s="2">
        <f t="shared" si="9"/>
        <v>90288.25</v>
      </c>
      <c r="W17" s="2">
        <f t="shared" si="17"/>
        <v>8125.9425</v>
      </c>
      <c r="X17" s="2">
        <f t="shared" si="18"/>
        <v>2166.918</v>
      </c>
      <c r="Y17" s="2">
        <f t="shared" si="19"/>
        <v>15501.798</v>
      </c>
      <c r="Z17" s="2">
        <f t="shared" si="20"/>
        <v>44.29085142857143</v>
      </c>
    </row>
    <row r="18" spans="1:26" ht="12.75">
      <c r="A18" t="str">
        <f t="shared" si="11"/>
        <v>Sprayer (600-825 Gal)90'</v>
      </c>
      <c r="B18" s="47" t="s">
        <v>257</v>
      </c>
      <c r="C18" s="47" t="s">
        <v>158</v>
      </c>
      <c r="D18" s="3">
        <v>90</v>
      </c>
      <c r="E18" s="3">
        <v>10</v>
      </c>
      <c r="F18" s="3">
        <v>0.65</v>
      </c>
      <c r="G18" s="81">
        <f t="shared" si="12"/>
        <v>0.014102564102564103</v>
      </c>
      <c r="H18" s="47">
        <v>10.295</v>
      </c>
      <c r="I18" s="141">
        <v>147891</v>
      </c>
      <c r="J18" s="47">
        <v>30</v>
      </c>
      <c r="K18" s="47">
        <v>15</v>
      </c>
      <c r="L18" s="47">
        <v>8</v>
      </c>
      <c r="M18" s="47">
        <v>350</v>
      </c>
      <c r="N18" s="49">
        <v>90</v>
      </c>
      <c r="O18" s="3">
        <v>10</v>
      </c>
      <c r="P18" s="47">
        <v>65</v>
      </c>
      <c r="Q18" s="47">
        <v>70.90909</v>
      </c>
      <c r="R18" s="2">
        <f t="shared" si="13"/>
        <v>2772.95625</v>
      </c>
      <c r="S18" s="2">
        <f t="shared" si="14"/>
        <v>7.922732142857144</v>
      </c>
      <c r="T18" s="2">
        <f t="shared" si="15"/>
        <v>44367.3</v>
      </c>
      <c r="U18" s="2">
        <f t="shared" si="16"/>
        <v>5545.9125</v>
      </c>
      <c r="V18" s="2">
        <f t="shared" si="9"/>
        <v>96129.15</v>
      </c>
      <c r="W18" s="2">
        <f t="shared" si="17"/>
        <v>8651.6235</v>
      </c>
      <c r="X18" s="2">
        <f t="shared" si="18"/>
        <v>2307.0996</v>
      </c>
      <c r="Y18" s="2">
        <f t="shared" si="19"/>
        <v>16504.6356</v>
      </c>
      <c r="Z18" s="2">
        <f t="shared" si="20"/>
        <v>47.15610171428572</v>
      </c>
    </row>
    <row r="19" spans="1:26" ht="12.75">
      <c r="A19" t="str">
        <f t="shared" si="11"/>
        <v>Sprayer (800-1000Gal)90'</v>
      </c>
      <c r="B19" s="47" t="s">
        <v>258</v>
      </c>
      <c r="C19" s="47" t="s">
        <v>158</v>
      </c>
      <c r="D19" s="3">
        <v>90</v>
      </c>
      <c r="E19" s="3">
        <v>10</v>
      </c>
      <c r="F19" s="3">
        <v>0.65</v>
      </c>
      <c r="G19" s="81">
        <f t="shared" si="12"/>
        <v>0.014102564102564103</v>
      </c>
      <c r="H19" s="47">
        <v>14.155</v>
      </c>
      <c r="I19" s="141">
        <v>207081</v>
      </c>
      <c r="J19" s="47">
        <v>30</v>
      </c>
      <c r="K19" s="47">
        <v>15</v>
      </c>
      <c r="L19" s="47">
        <v>8</v>
      </c>
      <c r="M19" s="47">
        <v>350</v>
      </c>
      <c r="N19" s="49">
        <v>90</v>
      </c>
      <c r="O19" s="3">
        <v>10</v>
      </c>
      <c r="P19" s="47">
        <v>65</v>
      </c>
      <c r="Q19" s="47">
        <v>70.90909</v>
      </c>
      <c r="R19" s="2">
        <f t="shared" si="13"/>
        <v>3882.76875</v>
      </c>
      <c r="S19" s="2">
        <f t="shared" si="14"/>
        <v>11.093625000000001</v>
      </c>
      <c r="T19" s="2">
        <f t="shared" si="15"/>
        <v>62124.3</v>
      </c>
      <c r="U19" s="2">
        <f t="shared" si="16"/>
        <v>7765.5375</v>
      </c>
      <c r="V19" s="2">
        <f t="shared" si="9"/>
        <v>134602.65</v>
      </c>
      <c r="W19" s="2">
        <f t="shared" si="17"/>
        <v>12114.2385</v>
      </c>
      <c r="X19" s="2">
        <f t="shared" si="18"/>
        <v>3230.4636</v>
      </c>
      <c r="Y19" s="2">
        <f t="shared" si="19"/>
        <v>23110.2396</v>
      </c>
      <c r="Z19" s="2">
        <f t="shared" si="20"/>
        <v>66.029256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4"/>
  <sheetViews>
    <sheetView zoomScale="75" zoomScaleNormal="75" workbookViewId="0" topLeftCell="A1">
      <pane xSplit="1" ySplit="4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4" sqref="A314:IV315"/>
    </sheetView>
  </sheetViews>
  <sheetFormatPr defaultColWidth="9.140625" defaultRowHeight="12.75"/>
  <cols>
    <col min="1" max="1" width="35.140625" style="30" customWidth="1"/>
    <col min="2" max="2" width="35.28125" style="27" customWidth="1"/>
    <col min="3" max="3" width="12.00390625" style="27" bestFit="1" customWidth="1"/>
    <col min="4" max="7" width="12.00390625" style="27" customWidth="1"/>
    <col min="8" max="8" width="10.57421875" style="27" bestFit="1" customWidth="1"/>
    <col min="9" max="9" width="8.57421875" style="27" bestFit="1" customWidth="1"/>
    <col min="10" max="12" width="9.00390625" style="27" bestFit="1" customWidth="1"/>
    <col min="13" max="13" width="7.57421875" style="29" bestFit="1" customWidth="1"/>
    <col min="14" max="17" width="10.28125" style="30" customWidth="1"/>
    <col min="18" max="18" width="12.8515625" style="31" customWidth="1"/>
    <col min="19" max="19" width="10.421875" style="31" bestFit="1" customWidth="1"/>
    <col min="20" max="20" width="12.421875" style="32" customWidth="1"/>
    <col min="21" max="21" width="10.421875" style="32" bestFit="1" customWidth="1"/>
    <col min="22" max="22" width="11.28125" style="30" bestFit="1" customWidth="1"/>
    <col min="23" max="23" width="13.7109375" style="30" customWidth="1"/>
    <col min="24" max="24" width="12.7109375" style="30" customWidth="1"/>
    <col min="25" max="26" width="10.28125" style="30" customWidth="1"/>
    <col min="27" max="27" width="11.28125" style="30" bestFit="1" customWidth="1"/>
    <col min="28" max="28" width="8.7109375" style="30" bestFit="1" customWidth="1"/>
    <col min="29" max="16384" width="10.28125" style="30" customWidth="1"/>
  </cols>
  <sheetData>
    <row r="1" spans="2:28" ht="15">
      <c r="B1" s="28" t="s">
        <v>78</v>
      </c>
      <c r="C1" s="27">
        <v>3</v>
      </c>
      <c r="D1" s="27">
        <v>4</v>
      </c>
      <c r="E1" s="27">
        <v>5</v>
      </c>
      <c r="F1" s="27">
        <v>6</v>
      </c>
      <c r="G1" s="27">
        <v>7</v>
      </c>
      <c r="H1" s="27">
        <v>8</v>
      </c>
      <c r="I1" s="27">
        <v>9</v>
      </c>
      <c r="J1" s="27">
        <v>10</v>
      </c>
      <c r="K1" s="27">
        <v>11</v>
      </c>
      <c r="L1" s="27">
        <v>12</v>
      </c>
      <c r="M1" s="27">
        <v>13</v>
      </c>
      <c r="N1" s="27">
        <v>14</v>
      </c>
      <c r="O1" s="27">
        <v>15</v>
      </c>
      <c r="P1" s="27">
        <v>16</v>
      </c>
      <c r="Q1" s="27">
        <v>17</v>
      </c>
      <c r="R1" s="27">
        <v>18</v>
      </c>
      <c r="S1" s="27">
        <v>19</v>
      </c>
      <c r="T1" s="27">
        <v>20</v>
      </c>
      <c r="U1" s="27">
        <v>21</v>
      </c>
      <c r="V1" s="27">
        <v>22</v>
      </c>
      <c r="W1" s="27">
        <v>23</v>
      </c>
      <c r="X1" s="27">
        <v>24</v>
      </c>
      <c r="Y1" s="27">
        <v>25</v>
      </c>
      <c r="Z1" s="27">
        <v>26</v>
      </c>
      <c r="AA1" s="27">
        <v>27</v>
      </c>
      <c r="AB1" s="27">
        <v>28</v>
      </c>
    </row>
    <row r="2" spans="2:7" ht="15">
      <c r="B2" s="33" t="s">
        <v>79</v>
      </c>
      <c r="C2" s="223" t="s">
        <v>252</v>
      </c>
      <c r="D2" s="223"/>
      <c r="E2" s="223"/>
      <c r="F2" s="223"/>
      <c r="G2" s="223"/>
    </row>
    <row r="3" spans="2:21" ht="15">
      <c r="B3" s="34" t="s">
        <v>80</v>
      </c>
      <c r="C3" s="224"/>
      <c r="D3" s="224"/>
      <c r="E3" s="224"/>
      <c r="F3" s="224"/>
      <c r="G3" s="224"/>
      <c r="N3" s="221" t="s">
        <v>81</v>
      </c>
      <c r="O3" s="221"/>
      <c r="P3" s="221"/>
      <c r="Q3" s="221"/>
      <c r="R3" s="221"/>
      <c r="S3" s="221"/>
      <c r="T3" s="222" t="s">
        <v>82</v>
      </c>
      <c r="U3" s="222"/>
    </row>
    <row r="4" spans="1:28" s="37" customFormat="1" ht="30">
      <c r="A4" s="57" t="s">
        <v>253</v>
      </c>
      <c r="B4" s="35" t="s">
        <v>47</v>
      </c>
      <c r="C4" s="35" t="s">
        <v>48</v>
      </c>
      <c r="D4" s="82" t="s">
        <v>84</v>
      </c>
      <c r="E4" s="82" t="s">
        <v>85</v>
      </c>
      <c r="F4" s="36" t="s">
        <v>86</v>
      </c>
      <c r="G4" s="83" t="s">
        <v>358</v>
      </c>
      <c r="H4" s="35" t="s">
        <v>50</v>
      </c>
      <c r="I4" s="35" t="s">
        <v>51</v>
      </c>
      <c r="J4" s="35" t="s">
        <v>52</v>
      </c>
      <c r="K4" s="35" t="s">
        <v>53</v>
      </c>
      <c r="L4" s="35" t="s">
        <v>54</v>
      </c>
      <c r="M4" s="36" t="s">
        <v>59</v>
      </c>
      <c r="N4" s="38" t="s">
        <v>55</v>
      </c>
      <c r="O4" s="38" t="s">
        <v>56</v>
      </c>
      <c r="P4" s="38" t="s">
        <v>57</v>
      </c>
      <c r="Q4" s="38" t="s">
        <v>58</v>
      </c>
      <c r="R4" s="39" t="s">
        <v>88</v>
      </c>
      <c r="S4" s="39" t="s">
        <v>89</v>
      </c>
      <c r="T4" s="40" t="s">
        <v>90</v>
      </c>
      <c r="U4" s="40" t="s">
        <v>91</v>
      </c>
      <c r="V4" s="67" t="s">
        <v>314</v>
      </c>
      <c r="W4" s="68" t="s">
        <v>315</v>
      </c>
      <c r="X4" s="68" t="s">
        <v>319</v>
      </c>
      <c r="Y4" s="68" t="s">
        <v>316</v>
      </c>
      <c r="Z4" s="68" t="s">
        <v>317</v>
      </c>
      <c r="AA4" s="68" t="s">
        <v>320</v>
      </c>
      <c r="AB4" s="68" t="s">
        <v>321</v>
      </c>
    </row>
    <row r="5" spans="1:28" s="37" customFormat="1" ht="15">
      <c r="A5" s="57"/>
      <c r="B5" s="35"/>
      <c r="C5" s="35"/>
      <c r="D5" s="82"/>
      <c r="E5" s="82"/>
      <c r="F5" s="36"/>
      <c r="G5" s="83"/>
      <c r="H5" s="35"/>
      <c r="I5" s="35"/>
      <c r="J5" s="35"/>
      <c r="K5" s="35"/>
      <c r="L5" s="35"/>
      <c r="M5" s="36"/>
      <c r="N5" s="38"/>
      <c r="O5" s="38"/>
      <c r="P5" s="38"/>
      <c r="Q5" s="38"/>
      <c r="R5" s="39"/>
      <c r="S5" s="39"/>
      <c r="T5" s="40"/>
      <c r="U5" s="40"/>
      <c r="V5" s="29"/>
      <c r="W5" s="27"/>
      <c r="X5" s="27"/>
      <c r="Y5" s="27"/>
      <c r="Z5" s="27"/>
      <c r="AA5" s="27"/>
      <c r="AB5" s="27"/>
    </row>
    <row r="6" spans="1:28" ht="15">
      <c r="A6" s="30" t="str">
        <f aca="true" t="shared" si="0" ref="A6:A69">+CONCATENATE(B6,C6)</f>
        <v>Chisel Plow(Folding)16'</v>
      </c>
      <c r="B6" s="47" t="s">
        <v>173</v>
      </c>
      <c r="C6" s="47" t="s">
        <v>93</v>
      </c>
      <c r="D6" s="49">
        <v>16</v>
      </c>
      <c r="E6" s="3">
        <v>5.25</v>
      </c>
      <c r="F6" s="3">
        <v>0.85</v>
      </c>
      <c r="G6" s="84">
        <f aca="true" t="shared" si="1" ref="G6:G37">1/((D6*E6*5280*F6)/43560)</f>
        <v>0.11554621848739496</v>
      </c>
      <c r="H6" s="148">
        <v>10736</v>
      </c>
      <c r="I6" s="150">
        <v>30</v>
      </c>
      <c r="J6" s="150">
        <v>65</v>
      </c>
      <c r="K6" s="150">
        <v>12</v>
      </c>
      <c r="L6" s="150">
        <v>150</v>
      </c>
      <c r="M6" s="48">
        <v>0</v>
      </c>
      <c r="N6" s="34">
        <f aca="true" t="shared" si="2" ref="N6:N69">+K6*L6</f>
        <v>1800</v>
      </c>
      <c r="O6" s="28">
        <v>1</v>
      </c>
      <c r="P6" s="42">
        <v>0.28</v>
      </c>
      <c r="Q6" s="42">
        <v>1.4</v>
      </c>
      <c r="R6" s="31">
        <f aca="true" t="shared" si="3" ref="R6:R69">+(P6*H6)*((O6*L6/1000)^Q6)</f>
        <v>211.11947481078752</v>
      </c>
      <c r="S6" s="31">
        <f aca="true" t="shared" si="4" ref="S6:S69">+R6/L6</f>
        <v>1.40746316540525</v>
      </c>
      <c r="T6" s="32">
        <f aca="true" t="shared" si="5" ref="T6:T69">+(H6*J6/100)/K6</f>
        <v>581.5333333333333</v>
      </c>
      <c r="U6" s="32">
        <f aca="true" t="shared" si="6" ref="U6:U69">+T6/L6</f>
        <v>3.876888888888889</v>
      </c>
      <c r="V6" s="2">
        <f aca="true" t="shared" si="7" ref="V6:V69">+(H6*I6/100)</f>
        <v>3220.8</v>
      </c>
      <c r="W6" s="2">
        <f aca="true" t="shared" si="8" ref="W6:W69">+(H6-V6)/K6</f>
        <v>626.2666666666667</v>
      </c>
      <c r="X6" s="2">
        <f aca="true" t="shared" si="9" ref="X6:X69">+(V6+H6)/2</f>
        <v>6978.4</v>
      </c>
      <c r="Y6" s="2">
        <f aca="true" t="shared" si="10" ref="Y6:Y69">+X6*iir</f>
        <v>628.0559999999999</v>
      </c>
      <c r="Z6" s="2">
        <f aca="true" t="shared" si="11" ref="Z6:Z69">+X6*ins_tax</f>
        <v>167.4816</v>
      </c>
      <c r="AA6" s="2">
        <f aca="true" t="shared" si="12" ref="AA6:AA69">+Z6+Y6+W6</f>
        <v>1421.8042666666665</v>
      </c>
      <c r="AB6" s="2">
        <f aca="true" t="shared" si="13" ref="AB6:AB69">+AA6/L6</f>
        <v>9.47869511111111</v>
      </c>
    </row>
    <row r="7" spans="1:28" ht="15">
      <c r="A7" s="30" t="str">
        <f t="shared" si="0"/>
        <v>Chisel Plow(Folding)24'</v>
      </c>
      <c r="B7" s="47" t="s">
        <v>173</v>
      </c>
      <c r="C7" s="47" t="s">
        <v>94</v>
      </c>
      <c r="D7" s="49">
        <v>24</v>
      </c>
      <c r="E7" s="3">
        <v>5.25</v>
      </c>
      <c r="F7" s="3">
        <v>0.85</v>
      </c>
      <c r="G7" s="84">
        <f t="shared" si="1"/>
        <v>0.07703081232492996</v>
      </c>
      <c r="H7" s="148">
        <v>22086</v>
      </c>
      <c r="I7" s="150">
        <v>30</v>
      </c>
      <c r="J7" s="150">
        <v>65</v>
      </c>
      <c r="K7" s="150">
        <v>12</v>
      </c>
      <c r="L7" s="150">
        <v>150</v>
      </c>
      <c r="M7" s="48">
        <v>0</v>
      </c>
      <c r="N7" s="34">
        <f t="shared" si="2"/>
        <v>1800</v>
      </c>
      <c r="O7" s="28">
        <v>1</v>
      </c>
      <c r="P7" s="41">
        <v>0.27</v>
      </c>
      <c r="Q7" s="41">
        <v>1.4</v>
      </c>
      <c r="R7" s="31">
        <f t="shared" si="3"/>
        <v>418.80185310476907</v>
      </c>
      <c r="S7" s="31">
        <f t="shared" si="4"/>
        <v>2.792012354031794</v>
      </c>
      <c r="T7" s="32">
        <f t="shared" si="5"/>
        <v>1196.325</v>
      </c>
      <c r="U7" s="32">
        <f t="shared" si="6"/>
        <v>7.9755</v>
      </c>
      <c r="V7" s="2">
        <f t="shared" si="7"/>
        <v>6625.8</v>
      </c>
      <c r="W7" s="2">
        <f t="shared" si="8"/>
        <v>1288.3500000000001</v>
      </c>
      <c r="X7" s="2">
        <f t="shared" si="9"/>
        <v>14355.9</v>
      </c>
      <c r="Y7" s="2">
        <f t="shared" si="10"/>
        <v>1292.031</v>
      </c>
      <c r="Z7" s="2">
        <f t="shared" si="11"/>
        <v>344.5416</v>
      </c>
      <c r="AA7" s="2">
        <f t="shared" si="12"/>
        <v>2924.9226</v>
      </c>
      <c r="AB7" s="2">
        <f t="shared" si="13"/>
        <v>19.499484</v>
      </c>
    </row>
    <row r="8" spans="1:28" ht="15">
      <c r="A8" s="30" t="str">
        <f t="shared" si="0"/>
        <v>Chisel Plow(Folding)32'</v>
      </c>
      <c r="B8" s="47" t="s">
        <v>173</v>
      </c>
      <c r="C8" s="47" t="s">
        <v>95</v>
      </c>
      <c r="D8" s="49">
        <v>32</v>
      </c>
      <c r="E8" s="3">
        <v>5.25</v>
      </c>
      <c r="F8" s="3">
        <v>0.85</v>
      </c>
      <c r="G8" s="84">
        <f t="shared" si="1"/>
        <v>0.05777310924369748</v>
      </c>
      <c r="H8" s="148">
        <v>26167</v>
      </c>
      <c r="I8" s="150">
        <v>30</v>
      </c>
      <c r="J8" s="150">
        <v>65</v>
      </c>
      <c r="K8" s="150">
        <v>12</v>
      </c>
      <c r="L8" s="150">
        <v>150</v>
      </c>
      <c r="M8" s="48">
        <v>0</v>
      </c>
      <c r="N8" s="34">
        <f t="shared" si="2"/>
        <v>1800</v>
      </c>
      <c r="O8" s="28">
        <v>1</v>
      </c>
      <c r="P8" s="41">
        <v>0.19</v>
      </c>
      <c r="Q8" s="41">
        <v>1.3</v>
      </c>
      <c r="R8" s="31">
        <f t="shared" si="3"/>
        <v>422.11051629367984</v>
      </c>
      <c r="S8" s="31">
        <f t="shared" si="4"/>
        <v>2.814070108624532</v>
      </c>
      <c r="T8" s="32">
        <f t="shared" si="5"/>
        <v>1417.3791666666666</v>
      </c>
      <c r="U8" s="32">
        <f t="shared" si="6"/>
        <v>9.449194444444444</v>
      </c>
      <c r="V8" s="2">
        <f t="shared" si="7"/>
        <v>7850.1</v>
      </c>
      <c r="W8" s="2">
        <f t="shared" si="8"/>
        <v>1526.4083333333335</v>
      </c>
      <c r="X8" s="2">
        <f t="shared" si="9"/>
        <v>17008.55</v>
      </c>
      <c r="Y8" s="2">
        <f t="shared" si="10"/>
        <v>1530.7694999999999</v>
      </c>
      <c r="Z8" s="2">
        <f t="shared" si="11"/>
        <v>408.2052</v>
      </c>
      <c r="AA8" s="2">
        <f t="shared" si="12"/>
        <v>3465.3830333333335</v>
      </c>
      <c r="AB8" s="2">
        <f t="shared" si="13"/>
        <v>23.102553555555556</v>
      </c>
    </row>
    <row r="9" spans="1:28" ht="15">
      <c r="A9" s="30" t="str">
        <f t="shared" si="0"/>
        <v>Chisel Plow(Folding)42'</v>
      </c>
      <c r="B9" s="47" t="s">
        <v>173</v>
      </c>
      <c r="C9" s="47" t="s">
        <v>96</v>
      </c>
      <c r="D9" s="49">
        <v>42</v>
      </c>
      <c r="E9" s="3">
        <v>5.25</v>
      </c>
      <c r="F9" s="3">
        <v>0.85</v>
      </c>
      <c r="G9" s="84">
        <f t="shared" si="1"/>
        <v>0.044017607042817125</v>
      </c>
      <c r="H9" s="148">
        <v>31213</v>
      </c>
      <c r="I9" s="150">
        <v>30</v>
      </c>
      <c r="J9" s="150">
        <v>65</v>
      </c>
      <c r="K9" s="150">
        <v>12</v>
      </c>
      <c r="L9" s="150">
        <v>150</v>
      </c>
      <c r="M9" s="48">
        <v>0</v>
      </c>
      <c r="N9" s="34">
        <f t="shared" si="2"/>
        <v>1800</v>
      </c>
      <c r="O9" s="28">
        <v>1</v>
      </c>
      <c r="P9" s="41">
        <v>0.27</v>
      </c>
      <c r="Q9" s="41">
        <v>1.4</v>
      </c>
      <c r="R9" s="31">
        <f t="shared" si="3"/>
        <v>591.8709698885791</v>
      </c>
      <c r="S9" s="31">
        <f t="shared" si="4"/>
        <v>3.9458064659238605</v>
      </c>
      <c r="T9" s="32">
        <f t="shared" si="5"/>
        <v>1690.7041666666667</v>
      </c>
      <c r="U9" s="32">
        <f t="shared" si="6"/>
        <v>11.27136111111111</v>
      </c>
      <c r="V9" s="2">
        <f t="shared" si="7"/>
        <v>9363.9</v>
      </c>
      <c r="W9" s="2">
        <f t="shared" si="8"/>
        <v>1820.7583333333332</v>
      </c>
      <c r="X9" s="2">
        <f t="shared" si="9"/>
        <v>20288.45</v>
      </c>
      <c r="Y9" s="2">
        <f t="shared" si="10"/>
        <v>1825.9605</v>
      </c>
      <c r="Z9" s="2">
        <f t="shared" si="11"/>
        <v>486.92280000000005</v>
      </c>
      <c r="AA9" s="2">
        <f t="shared" si="12"/>
        <v>4133.641633333333</v>
      </c>
      <c r="AB9" s="2">
        <f t="shared" si="13"/>
        <v>27.557610888888885</v>
      </c>
    </row>
    <row r="10" spans="1:28" ht="15">
      <c r="A10" s="30" t="str">
        <f t="shared" si="0"/>
        <v>Chisel Plow(Rigid)15'</v>
      </c>
      <c r="B10" s="47" t="s">
        <v>172</v>
      </c>
      <c r="C10" s="47" t="s">
        <v>120</v>
      </c>
      <c r="D10" s="49">
        <v>15</v>
      </c>
      <c r="E10" s="3">
        <v>5.25</v>
      </c>
      <c r="F10" s="3">
        <v>0.85</v>
      </c>
      <c r="G10" s="84">
        <f t="shared" si="1"/>
        <v>0.12324929971988796</v>
      </c>
      <c r="H10" s="148">
        <v>7660</v>
      </c>
      <c r="I10" s="150">
        <v>30</v>
      </c>
      <c r="J10" s="150">
        <v>65</v>
      </c>
      <c r="K10" s="150">
        <v>12</v>
      </c>
      <c r="L10" s="150">
        <v>150</v>
      </c>
      <c r="M10" s="48">
        <v>0</v>
      </c>
      <c r="N10" s="34">
        <f t="shared" si="2"/>
        <v>1800</v>
      </c>
      <c r="O10" s="28">
        <v>1</v>
      </c>
      <c r="P10" s="41">
        <v>0.27</v>
      </c>
      <c r="Q10" s="41">
        <v>1.4</v>
      </c>
      <c r="R10" s="31">
        <f t="shared" si="3"/>
        <v>145.25138978459347</v>
      </c>
      <c r="S10" s="31">
        <f t="shared" si="4"/>
        <v>0.9683425985639564</v>
      </c>
      <c r="T10" s="32">
        <f t="shared" si="5"/>
        <v>414.9166666666667</v>
      </c>
      <c r="U10" s="32">
        <f t="shared" si="6"/>
        <v>2.7661111111111114</v>
      </c>
      <c r="V10" s="2">
        <f t="shared" si="7"/>
        <v>2298</v>
      </c>
      <c r="W10" s="2">
        <f t="shared" si="8"/>
        <v>446.8333333333333</v>
      </c>
      <c r="X10" s="2">
        <f t="shared" si="9"/>
        <v>4979</v>
      </c>
      <c r="Y10" s="2">
        <f t="shared" si="10"/>
        <v>448.10999999999996</v>
      </c>
      <c r="Z10" s="2">
        <f t="shared" si="11"/>
        <v>119.49600000000001</v>
      </c>
      <c r="AA10" s="2">
        <f t="shared" si="12"/>
        <v>1014.4393333333333</v>
      </c>
      <c r="AB10" s="2">
        <f t="shared" si="13"/>
        <v>6.762928888888888</v>
      </c>
    </row>
    <row r="11" spans="1:28" ht="15">
      <c r="A11" s="30" t="str">
        <f t="shared" si="0"/>
        <v>Chisel Plow(Rigid)24'</v>
      </c>
      <c r="B11" s="47" t="s">
        <v>172</v>
      </c>
      <c r="C11" s="47" t="s">
        <v>94</v>
      </c>
      <c r="D11" s="49">
        <v>24</v>
      </c>
      <c r="E11" s="3">
        <v>5.25</v>
      </c>
      <c r="F11" s="3">
        <v>0.85</v>
      </c>
      <c r="G11" s="84">
        <f t="shared" si="1"/>
        <v>0.07703081232492996</v>
      </c>
      <c r="H11" s="148">
        <v>8803</v>
      </c>
      <c r="I11" s="150">
        <v>30</v>
      </c>
      <c r="J11" s="150">
        <v>65</v>
      </c>
      <c r="K11" s="150">
        <v>12</v>
      </c>
      <c r="L11" s="150">
        <v>150</v>
      </c>
      <c r="M11" s="48">
        <v>0</v>
      </c>
      <c r="N11" s="34">
        <f t="shared" si="2"/>
        <v>1800</v>
      </c>
      <c r="O11" s="28">
        <v>1</v>
      </c>
      <c r="P11" s="41">
        <v>0.27</v>
      </c>
      <c r="Q11" s="41">
        <v>1.4</v>
      </c>
      <c r="R11" s="31">
        <f t="shared" si="3"/>
        <v>166.92532431772534</v>
      </c>
      <c r="S11" s="31">
        <f t="shared" si="4"/>
        <v>1.1128354954515023</v>
      </c>
      <c r="T11" s="32">
        <f t="shared" si="5"/>
        <v>476.82916666666665</v>
      </c>
      <c r="U11" s="32">
        <f t="shared" si="6"/>
        <v>3.178861111111111</v>
      </c>
      <c r="V11" s="2">
        <f t="shared" si="7"/>
        <v>2640.9</v>
      </c>
      <c r="W11" s="2">
        <f t="shared" si="8"/>
        <v>513.5083333333333</v>
      </c>
      <c r="X11" s="2">
        <f t="shared" si="9"/>
        <v>5721.95</v>
      </c>
      <c r="Y11" s="2">
        <f t="shared" si="10"/>
        <v>514.9755</v>
      </c>
      <c r="Z11" s="2">
        <f t="shared" si="11"/>
        <v>137.3268</v>
      </c>
      <c r="AA11" s="2">
        <f t="shared" si="12"/>
        <v>1165.8106333333335</v>
      </c>
      <c r="AB11" s="2">
        <f t="shared" si="13"/>
        <v>7.77207088888889</v>
      </c>
    </row>
    <row r="12" spans="1:28" ht="15">
      <c r="A12" s="30" t="str">
        <f t="shared" si="0"/>
        <v>Chisel-Harrow21 shank</v>
      </c>
      <c r="B12" s="47" t="s">
        <v>208</v>
      </c>
      <c r="C12" s="47" t="s">
        <v>210</v>
      </c>
      <c r="D12" s="49">
        <v>21</v>
      </c>
      <c r="E12" s="3">
        <v>5.25</v>
      </c>
      <c r="F12" s="3">
        <v>0.85</v>
      </c>
      <c r="G12" s="84">
        <f t="shared" si="1"/>
        <v>0.08803521408563425</v>
      </c>
      <c r="H12" s="148">
        <v>8033</v>
      </c>
      <c r="I12" s="150">
        <v>30</v>
      </c>
      <c r="J12" s="150">
        <v>65</v>
      </c>
      <c r="K12" s="150">
        <v>12</v>
      </c>
      <c r="L12" s="150">
        <v>150</v>
      </c>
      <c r="M12" s="48">
        <v>0</v>
      </c>
      <c r="N12" s="34">
        <f t="shared" si="2"/>
        <v>1800</v>
      </c>
      <c r="O12" s="28">
        <v>1</v>
      </c>
      <c r="P12" s="41">
        <v>0.27</v>
      </c>
      <c r="Q12" s="41">
        <v>1.4</v>
      </c>
      <c r="R12" s="31">
        <f t="shared" si="3"/>
        <v>152.32433604956128</v>
      </c>
      <c r="S12" s="31">
        <f t="shared" si="4"/>
        <v>1.0154955736637419</v>
      </c>
      <c r="T12" s="32">
        <f t="shared" si="5"/>
        <v>435.12083333333334</v>
      </c>
      <c r="U12" s="32">
        <f t="shared" si="6"/>
        <v>2.9008055555555554</v>
      </c>
      <c r="V12" s="2">
        <f t="shared" si="7"/>
        <v>2409.9</v>
      </c>
      <c r="W12" s="2">
        <f t="shared" si="8"/>
        <v>468.5916666666667</v>
      </c>
      <c r="X12" s="2">
        <f t="shared" si="9"/>
        <v>5221.45</v>
      </c>
      <c r="Y12" s="2">
        <f t="shared" si="10"/>
        <v>469.93049999999994</v>
      </c>
      <c r="Z12" s="2">
        <f t="shared" si="11"/>
        <v>125.3148</v>
      </c>
      <c r="AA12" s="2">
        <f t="shared" si="12"/>
        <v>1063.8369666666667</v>
      </c>
      <c r="AB12" s="2">
        <f t="shared" si="13"/>
        <v>7.092246444444445</v>
      </c>
    </row>
    <row r="13" spans="1:28" ht="15">
      <c r="A13" s="30" t="str">
        <f t="shared" si="0"/>
        <v>Chisel-Harrow27 shank</v>
      </c>
      <c r="B13" s="47" t="s">
        <v>208</v>
      </c>
      <c r="C13" s="47" t="s">
        <v>209</v>
      </c>
      <c r="D13" s="49">
        <v>27</v>
      </c>
      <c r="E13" s="3">
        <v>5.25</v>
      </c>
      <c r="F13" s="3">
        <v>0.85</v>
      </c>
      <c r="G13" s="84">
        <f t="shared" si="1"/>
        <v>0.06847183317771553</v>
      </c>
      <c r="H13" s="148">
        <v>10575</v>
      </c>
      <c r="I13" s="150">
        <v>30</v>
      </c>
      <c r="J13" s="150">
        <v>65</v>
      </c>
      <c r="K13" s="150">
        <v>12</v>
      </c>
      <c r="L13" s="150">
        <v>150</v>
      </c>
      <c r="M13" s="48">
        <v>0</v>
      </c>
      <c r="N13" s="34">
        <f t="shared" si="2"/>
        <v>1800</v>
      </c>
      <c r="O13" s="28">
        <v>1</v>
      </c>
      <c r="P13" s="41">
        <v>0.27</v>
      </c>
      <c r="Q13" s="41">
        <v>1.4</v>
      </c>
      <c r="R13" s="31">
        <f t="shared" si="3"/>
        <v>200.52655965692895</v>
      </c>
      <c r="S13" s="31">
        <f t="shared" si="4"/>
        <v>1.336843731046193</v>
      </c>
      <c r="T13" s="32">
        <f t="shared" si="5"/>
        <v>572.8125</v>
      </c>
      <c r="U13" s="32">
        <f t="shared" si="6"/>
        <v>3.81875</v>
      </c>
      <c r="V13" s="2">
        <f t="shared" si="7"/>
        <v>3172.5</v>
      </c>
      <c r="W13" s="2">
        <f t="shared" si="8"/>
        <v>616.875</v>
      </c>
      <c r="X13" s="2">
        <f t="shared" si="9"/>
        <v>6873.75</v>
      </c>
      <c r="Y13" s="2">
        <f t="shared" si="10"/>
        <v>618.6374999999999</v>
      </c>
      <c r="Z13" s="2">
        <f t="shared" si="11"/>
        <v>164.97</v>
      </c>
      <c r="AA13" s="2">
        <f t="shared" si="12"/>
        <v>1400.4825</v>
      </c>
      <c r="AB13" s="2">
        <f t="shared" si="13"/>
        <v>9.33655</v>
      </c>
    </row>
    <row r="14" spans="1:28" ht="15">
      <c r="A14" s="30" t="str">
        <f t="shared" si="0"/>
        <v>Colter-Chisel-Harrow21 shank</v>
      </c>
      <c r="B14" s="47" t="s">
        <v>211</v>
      </c>
      <c r="C14" s="47" t="s">
        <v>210</v>
      </c>
      <c r="D14" s="49">
        <v>21</v>
      </c>
      <c r="E14" s="3">
        <v>5.25</v>
      </c>
      <c r="F14" s="3">
        <v>0.85</v>
      </c>
      <c r="G14" s="84">
        <f t="shared" si="1"/>
        <v>0.08803521408563425</v>
      </c>
      <c r="H14" s="148">
        <v>14365</v>
      </c>
      <c r="I14" s="150">
        <v>30</v>
      </c>
      <c r="J14" s="150">
        <v>65</v>
      </c>
      <c r="K14" s="150">
        <v>12</v>
      </c>
      <c r="L14" s="150">
        <v>150</v>
      </c>
      <c r="M14" s="48">
        <v>0</v>
      </c>
      <c r="N14" s="34">
        <f t="shared" si="2"/>
        <v>1800</v>
      </c>
      <c r="O14" s="28">
        <v>1</v>
      </c>
      <c r="P14" s="41">
        <v>0.27</v>
      </c>
      <c r="Q14" s="41">
        <v>1.4</v>
      </c>
      <c r="R14" s="31">
        <f t="shared" si="3"/>
        <v>272.3937616521782</v>
      </c>
      <c r="S14" s="31">
        <f t="shared" si="4"/>
        <v>1.8159584110145215</v>
      </c>
      <c r="T14" s="32">
        <f t="shared" si="5"/>
        <v>778.1041666666666</v>
      </c>
      <c r="U14" s="32">
        <f t="shared" si="6"/>
        <v>5.187361111111111</v>
      </c>
      <c r="V14" s="2">
        <f t="shared" si="7"/>
        <v>4309.5</v>
      </c>
      <c r="W14" s="2">
        <f t="shared" si="8"/>
        <v>837.9583333333334</v>
      </c>
      <c r="X14" s="2">
        <f t="shared" si="9"/>
        <v>9337.25</v>
      </c>
      <c r="Y14" s="2">
        <f t="shared" si="10"/>
        <v>840.3525</v>
      </c>
      <c r="Z14" s="2">
        <f t="shared" si="11"/>
        <v>224.094</v>
      </c>
      <c r="AA14" s="2">
        <f t="shared" si="12"/>
        <v>1902.4048333333335</v>
      </c>
      <c r="AB14" s="2">
        <f t="shared" si="13"/>
        <v>12.68269888888889</v>
      </c>
    </row>
    <row r="15" spans="1:28" ht="15">
      <c r="A15" s="30" t="str">
        <f t="shared" si="0"/>
        <v>Colter-Chisel-Harrow27 shank</v>
      </c>
      <c r="B15" s="47" t="s">
        <v>211</v>
      </c>
      <c r="C15" s="47" t="s">
        <v>209</v>
      </c>
      <c r="D15" s="49">
        <v>27</v>
      </c>
      <c r="E15" s="3">
        <v>5</v>
      </c>
      <c r="F15" s="3">
        <v>0.85</v>
      </c>
      <c r="G15" s="84">
        <f t="shared" si="1"/>
        <v>0.07189542483660132</v>
      </c>
      <c r="H15" s="148">
        <v>18716</v>
      </c>
      <c r="I15" s="150">
        <v>30</v>
      </c>
      <c r="J15" s="150">
        <v>65</v>
      </c>
      <c r="K15" s="150">
        <v>12</v>
      </c>
      <c r="L15" s="150">
        <v>150</v>
      </c>
      <c r="M15" s="48">
        <v>0</v>
      </c>
      <c r="N15" s="34">
        <f t="shared" si="2"/>
        <v>1800</v>
      </c>
      <c r="O15" s="28">
        <v>1</v>
      </c>
      <c r="P15" s="41">
        <v>0.27</v>
      </c>
      <c r="Q15" s="41">
        <v>1.4</v>
      </c>
      <c r="R15" s="31">
        <f t="shared" si="3"/>
        <v>354.89882652851844</v>
      </c>
      <c r="S15" s="31">
        <f t="shared" si="4"/>
        <v>2.3659921768567895</v>
      </c>
      <c r="T15" s="32">
        <f t="shared" si="5"/>
        <v>1013.7833333333333</v>
      </c>
      <c r="U15" s="32">
        <f t="shared" si="6"/>
        <v>6.758555555555556</v>
      </c>
      <c r="V15" s="2">
        <f t="shared" si="7"/>
        <v>5614.8</v>
      </c>
      <c r="W15" s="2">
        <f t="shared" si="8"/>
        <v>1091.7666666666667</v>
      </c>
      <c r="X15" s="2">
        <f t="shared" si="9"/>
        <v>12165.4</v>
      </c>
      <c r="Y15" s="2">
        <f t="shared" si="10"/>
        <v>1094.886</v>
      </c>
      <c r="Z15" s="2">
        <f t="shared" si="11"/>
        <v>291.9696</v>
      </c>
      <c r="AA15" s="2">
        <f t="shared" si="12"/>
        <v>2478.6222666666663</v>
      </c>
      <c r="AB15" s="2">
        <f t="shared" si="13"/>
        <v>16.524148444444442</v>
      </c>
    </row>
    <row r="16" spans="1:28" ht="15">
      <c r="A16" s="30" t="str">
        <f t="shared" si="0"/>
        <v>Cult &amp; Post10R-30</v>
      </c>
      <c r="B16" s="47" t="s">
        <v>176</v>
      </c>
      <c r="C16" s="47" t="s">
        <v>103</v>
      </c>
      <c r="D16" s="49">
        <v>25</v>
      </c>
      <c r="E16" s="3">
        <v>5</v>
      </c>
      <c r="F16" s="3">
        <v>0.8</v>
      </c>
      <c r="G16" s="84">
        <f t="shared" si="1"/>
        <v>0.0825</v>
      </c>
      <c r="H16" s="149">
        <v>25170</v>
      </c>
      <c r="I16" s="150">
        <v>30</v>
      </c>
      <c r="J16" s="150">
        <v>40</v>
      </c>
      <c r="K16" s="150">
        <v>10</v>
      </c>
      <c r="L16" s="150">
        <v>150</v>
      </c>
      <c r="M16" s="48">
        <v>0</v>
      </c>
      <c r="N16" s="34">
        <f t="shared" si="2"/>
        <v>1500</v>
      </c>
      <c r="O16" s="28">
        <v>1</v>
      </c>
      <c r="P16" s="41">
        <v>0.27</v>
      </c>
      <c r="Q16" s="41">
        <v>1.4</v>
      </c>
      <c r="R16" s="31">
        <f t="shared" si="3"/>
        <v>477.28165546713024</v>
      </c>
      <c r="S16" s="31">
        <f t="shared" si="4"/>
        <v>3.1818777031142016</v>
      </c>
      <c r="T16" s="32">
        <f t="shared" si="5"/>
        <v>1006.8</v>
      </c>
      <c r="U16" s="32">
        <f t="shared" si="6"/>
        <v>6.712</v>
      </c>
      <c r="V16" s="2">
        <f t="shared" si="7"/>
        <v>7551</v>
      </c>
      <c r="W16" s="2">
        <f t="shared" si="8"/>
        <v>1761.9</v>
      </c>
      <c r="X16" s="2">
        <f t="shared" si="9"/>
        <v>16360.5</v>
      </c>
      <c r="Y16" s="2">
        <f t="shared" si="10"/>
        <v>1472.445</v>
      </c>
      <c r="Z16" s="2">
        <f t="shared" si="11"/>
        <v>392.652</v>
      </c>
      <c r="AA16" s="2">
        <f t="shared" si="12"/>
        <v>3626.9970000000003</v>
      </c>
      <c r="AB16" s="2">
        <f t="shared" si="13"/>
        <v>24.17998</v>
      </c>
    </row>
    <row r="17" spans="1:28" ht="15">
      <c r="A17" s="30" t="str">
        <f t="shared" si="0"/>
        <v>Cult &amp; Post10R-36</v>
      </c>
      <c r="B17" s="47" t="s">
        <v>176</v>
      </c>
      <c r="C17" s="47" t="s">
        <v>375</v>
      </c>
      <c r="D17" s="49">
        <v>30</v>
      </c>
      <c r="E17" s="3">
        <v>5</v>
      </c>
      <c r="F17" s="3">
        <v>0.8</v>
      </c>
      <c r="G17" s="84">
        <f t="shared" si="1"/>
        <v>0.06875</v>
      </c>
      <c r="H17" s="149">
        <v>29310</v>
      </c>
      <c r="I17" s="150">
        <v>30</v>
      </c>
      <c r="J17" s="150">
        <v>40</v>
      </c>
      <c r="K17" s="150">
        <v>10</v>
      </c>
      <c r="L17" s="150">
        <v>150</v>
      </c>
      <c r="M17" s="48">
        <v>0</v>
      </c>
      <c r="N17" s="34">
        <f t="shared" si="2"/>
        <v>1500</v>
      </c>
      <c r="O17" s="28">
        <v>1</v>
      </c>
      <c r="P17" s="41">
        <v>0.27</v>
      </c>
      <c r="Q17" s="41">
        <v>1.4</v>
      </c>
      <c r="R17" s="31">
        <f t="shared" si="3"/>
        <v>555.785670311545</v>
      </c>
      <c r="S17" s="31">
        <f t="shared" si="4"/>
        <v>3.7052378020769665</v>
      </c>
      <c r="T17" s="32">
        <f t="shared" si="5"/>
        <v>1172.4</v>
      </c>
      <c r="U17" s="32">
        <f t="shared" si="6"/>
        <v>7.816000000000001</v>
      </c>
      <c r="V17" s="2">
        <f t="shared" si="7"/>
        <v>8793</v>
      </c>
      <c r="W17" s="2">
        <f t="shared" si="8"/>
        <v>2051.7</v>
      </c>
      <c r="X17" s="2">
        <f t="shared" si="9"/>
        <v>19051.5</v>
      </c>
      <c r="Y17" s="2">
        <f t="shared" si="10"/>
        <v>1714.635</v>
      </c>
      <c r="Z17" s="2">
        <f t="shared" si="11"/>
        <v>457.236</v>
      </c>
      <c r="AA17" s="2">
        <f t="shared" si="12"/>
        <v>4223.571</v>
      </c>
      <c r="AB17" s="2">
        <f t="shared" si="13"/>
        <v>28.15714</v>
      </c>
    </row>
    <row r="18" spans="1:28" ht="15">
      <c r="A18" s="30" t="str">
        <f t="shared" si="0"/>
        <v>Cult &amp; Post12R-30</v>
      </c>
      <c r="B18" s="47" t="s">
        <v>176</v>
      </c>
      <c r="C18" s="47" t="s">
        <v>213</v>
      </c>
      <c r="D18" s="49">
        <v>30</v>
      </c>
      <c r="E18" s="3">
        <v>5</v>
      </c>
      <c r="F18" s="3">
        <v>0.8</v>
      </c>
      <c r="G18" s="84">
        <f t="shared" si="1"/>
        <v>0.06875</v>
      </c>
      <c r="H18" s="149">
        <v>29310</v>
      </c>
      <c r="I18" s="150">
        <v>30</v>
      </c>
      <c r="J18" s="150">
        <v>40</v>
      </c>
      <c r="K18" s="150">
        <v>10</v>
      </c>
      <c r="L18" s="150">
        <v>150</v>
      </c>
      <c r="M18" s="48">
        <v>0</v>
      </c>
      <c r="N18" s="34">
        <f t="shared" si="2"/>
        <v>1500</v>
      </c>
      <c r="O18" s="28">
        <v>1</v>
      </c>
      <c r="P18" s="41">
        <v>0.27</v>
      </c>
      <c r="Q18" s="41">
        <v>1.4</v>
      </c>
      <c r="R18" s="31">
        <f t="shared" si="3"/>
        <v>555.785670311545</v>
      </c>
      <c r="S18" s="31">
        <f t="shared" si="4"/>
        <v>3.7052378020769665</v>
      </c>
      <c r="T18" s="32">
        <f t="shared" si="5"/>
        <v>1172.4</v>
      </c>
      <c r="U18" s="32">
        <f t="shared" si="6"/>
        <v>7.816000000000001</v>
      </c>
      <c r="V18" s="2">
        <f t="shared" si="7"/>
        <v>8793</v>
      </c>
      <c r="W18" s="2">
        <f t="shared" si="8"/>
        <v>2051.7</v>
      </c>
      <c r="X18" s="2">
        <f t="shared" si="9"/>
        <v>19051.5</v>
      </c>
      <c r="Y18" s="2">
        <f t="shared" si="10"/>
        <v>1714.635</v>
      </c>
      <c r="Z18" s="2">
        <f t="shared" si="11"/>
        <v>457.236</v>
      </c>
      <c r="AA18" s="2">
        <f t="shared" si="12"/>
        <v>4223.571</v>
      </c>
      <c r="AB18" s="2">
        <f t="shared" si="13"/>
        <v>28.15714</v>
      </c>
    </row>
    <row r="19" spans="1:28" ht="15">
      <c r="A19" s="30" t="str">
        <f t="shared" si="0"/>
        <v>Cult &amp; Post12R-36</v>
      </c>
      <c r="B19" s="47" t="s">
        <v>176</v>
      </c>
      <c r="C19" s="47" t="s">
        <v>376</v>
      </c>
      <c r="D19" s="49">
        <v>36</v>
      </c>
      <c r="E19" s="3">
        <v>5</v>
      </c>
      <c r="F19" s="3">
        <v>0.8</v>
      </c>
      <c r="G19" s="84">
        <f t="shared" si="1"/>
        <v>0.05729166666666667</v>
      </c>
      <c r="H19" s="149">
        <v>31338</v>
      </c>
      <c r="I19" s="150">
        <v>30</v>
      </c>
      <c r="J19" s="150">
        <v>40</v>
      </c>
      <c r="K19" s="150">
        <v>10</v>
      </c>
      <c r="L19" s="150">
        <v>150</v>
      </c>
      <c r="M19" s="48">
        <v>0</v>
      </c>
      <c r="N19" s="34">
        <f t="shared" si="2"/>
        <v>1500</v>
      </c>
      <c r="O19" s="28">
        <v>1</v>
      </c>
      <c r="P19" s="41">
        <v>0.27</v>
      </c>
      <c r="Q19" s="41">
        <v>1.4</v>
      </c>
      <c r="R19" s="31">
        <f t="shared" si="3"/>
        <v>594.2412601918525</v>
      </c>
      <c r="S19" s="31">
        <f t="shared" si="4"/>
        <v>3.9616084012790163</v>
      </c>
      <c r="T19" s="32">
        <f t="shared" si="5"/>
        <v>1253.52</v>
      </c>
      <c r="U19" s="32">
        <f t="shared" si="6"/>
        <v>8.3568</v>
      </c>
      <c r="V19" s="2">
        <f t="shared" si="7"/>
        <v>9401.4</v>
      </c>
      <c r="W19" s="2">
        <f t="shared" si="8"/>
        <v>2193.66</v>
      </c>
      <c r="X19" s="2">
        <f t="shared" si="9"/>
        <v>20369.7</v>
      </c>
      <c r="Y19" s="2">
        <f t="shared" si="10"/>
        <v>1833.273</v>
      </c>
      <c r="Z19" s="2">
        <f t="shared" si="11"/>
        <v>488.87280000000004</v>
      </c>
      <c r="AA19" s="2">
        <f t="shared" si="12"/>
        <v>4515.8058</v>
      </c>
      <c r="AB19" s="2">
        <f t="shared" si="13"/>
        <v>30.105372</v>
      </c>
    </row>
    <row r="20" spans="1:28" ht="15">
      <c r="A20" s="30" t="str">
        <f t="shared" si="0"/>
        <v>Cult &amp; Post4R-36</v>
      </c>
      <c r="B20" s="47" t="s">
        <v>176</v>
      </c>
      <c r="C20" s="47" t="s">
        <v>373</v>
      </c>
      <c r="D20" s="49">
        <v>12</v>
      </c>
      <c r="E20" s="3">
        <v>5</v>
      </c>
      <c r="F20" s="3">
        <v>0.8</v>
      </c>
      <c r="G20" s="84">
        <f t="shared" si="1"/>
        <v>0.171875</v>
      </c>
      <c r="H20" s="149">
        <v>13307</v>
      </c>
      <c r="I20" s="150">
        <v>30</v>
      </c>
      <c r="J20" s="150">
        <v>40</v>
      </c>
      <c r="K20" s="150">
        <v>10</v>
      </c>
      <c r="L20" s="150">
        <v>150</v>
      </c>
      <c r="M20" s="48">
        <v>0</v>
      </c>
      <c r="N20" s="34">
        <f t="shared" si="2"/>
        <v>1500</v>
      </c>
      <c r="O20" s="28">
        <v>1</v>
      </c>
      <c r="P20" s="41">
        <v>0.27</v>
      </c>
      <c r="Q20" s="41">
        <v>1.4</v>
      </c>
      <c r="R20" s="31">
        <f t="shared" si="3"/>
        <v>252.33162452527222</v>
      </c>
      <c r="S20" s="31">
        <f t="shared" si="4"/>
        <v>1.6822108301684815</v>
      </c>
      <c r="T20" s="32">
        <f t="shared" si="5"/>
        <v>532.28</v>
      </c>
      <c r="U20" s="32">
        <f t="shared" si="6"/>
        <v>3.5485333333333333</v>
      </c>
      <c r="V20" s="2">
        <f t="shared" si="7"/>
        <v>3992.1</v>
      </c>
      <c r="W20" s="2">
        <f t="shared" si="8"/>
        <v>931.49</v>
      </c>
      <c r="X20" s="2">
        <f t="shared" si="9"/>
        <v>8649.55</v>
      </c>
      <c r="Y20" s="2">
        <f t="shared" si="10"/>
        <v>778.4594999999999</v>
      </c>
      <c r="Z20" s="2">
        <f t="shared" si="11"/>
        <v>207.58919999999998</v>
      </c>
      <c r="AA20" s="2">
        <f t="shared" si="12"/>
        <v>1917.5387</v>
      </c>
      <c r="AB20" s="2">
        <f t="shared" si="13"/>
        <v>12.783591333333334</v>
      </c>
    </row>
    <row r="21" spans="1:28" ht="15">
      <c r="A21" s="30" t="str">
        <f t="shared" si="0"/>
        <v>Cult &amp; Post6R-30</v>
      </c>
      <c r="B21" s="47" t="s">
        <v>176</v>
      </c>
      <c r="C21" s="47" t="s">
        <v>99</v>
      </c>
      <c r="D21" s="49">
        <v>15</v>
      </c>
      <c r="E21" s="3">
        <v>5</v>
      </c>
      <c r="F21" s="3">
        <v>0.8</v>
      </c>
      <c r="G21" s="84">
        <f t="shared" si="1"/>
        <v>0.1375</v>
      </c>
      <c r="H21" s="149">
        <v>17362</v>
      </c>
      <c r="I21" s="150">
        <v>30</v>
      </c>
      <c r="J21" s="150">
        <v>40</v>
      </c>
      <c r="K21" s="150">
        <v>10</v>
      </c>
      <c r="L21" s="150">
        <v>150</v>
      </c>
      <c r="M21" s="48">
        <v>0</v>
      </c>
      <c r="N21" s="34">
        <f t="shared" si="2"/>
        <v>1500</v>
      </c>
      <c r="O21" s="28">
        <v>1</v>
      </c>
      <c r="P21" s="41">
        <v>0.27</v>
      </c>
      <c r="Q21" s="41">
        <v>1.4</v>
      </c>
      <c r="R21" s="31">
        <f t="shared" si="3"/>
        <v>329.2238419634611</v>
      </c>
      <c r="S21" s="31">
        <f t="shared" si="4"/>
        <v>2.1948256130897406</v>
      </c>
      <c r="T21" s="32">
        <f t="shared" si="5"/>
        <v>694.48</v>
      </c>
      <c r="U21" s="32">
        <f t="shared" si="6"/>
        <v>4.629866666666667</v>
      </c>
      <c r="V21" s="2">
        <f t="shared" si="7"/>
        <v>5208.6</v>
      </c>
      <c r="W21" s="2">
        <f t="shared" si="8"/>
        <v>1215.34</v>
      </c>
      <c r="X21" s="2">
        <f t="shared" si="9"/>
        <v>11285.3</v>
      </c>
      <c r="Y21" s="2">
        <f t="shared" si="10"/>
        <v>1015.6769999999999</v>
      </c>
      <c r="Z21" s="2">
        <f t="shared" si="11"/>
        <v>270.8472</v>
      </c>
      <c r="AA21" s="2">
        <f t="shared" si="12"/>
        <v>2501.8642</v>
      </c>
      <c r="AB21" s="2">
        <f t="shared" si="13"/>
        <v>16.679094666666668</v>
      </c>
    </row>
    <row r="22" spans="1:28" ht="15">
      <c r="A22" s="30" t="str">
        <f t="shared" si="0"/>
        <v>Cult &amp; Post6R-36</v>
      </c>
      <c r="B22" s="47" t="s">
        <v>176</v>
      </c>
      <c r="C22" s="47" t="s">
        <v>374</v>
      </c>
      <c r="D22" s="49">
        <v>18</v>
      </c>
      <c r="E22" s="3">
        <v>5</v>
      </c>
      <c r="F22" s="3">
        <v>0.8</v>
      </c>
      <c r="G22" s="84">
        <f t="shared" si="1"/>
        <v>0.11458333333333334</v>
      </c>
      <c r="H22" s="149">
        <v>17735</v>
      </c>
      <c r="I22" s="150">
        <v>30</v>
      </c>
      <c r="J22" s="150">
        <v>40</v>
      </c>
      <c r="K22" s="150">
        <v>10</v>
      </c>
      <c r="L22" s="150">
        <v>150</v>
      </c>
      <c r="M22" s="48">
        <v>0</v>
      </c>
      <c r="N22" s="34">
        <f t="shared" si="2"/>
        <v>1500</v>
      </c>
      <c r="O22" s="28">
        <v>1</v>
      </c>
      <c r="P22" s="41">
        <v>0.27</v>
      </c>
      <c r="Q22" s="41">
        <v>1.4</v>
      </c>
      <c r="R22" s="31">
        <f t="shared" si="3"/>
        <v>336.2967882284289</v>
      </c>
      <c r="S22" s="31">
        <f t="shared" si="4"/>
        <v>2.241978588189526</v>
      </c>
      <c r="T22" s="32">
        <f t="shared" si="5"/>
        <v>709.4</v>
      </c>
      <c r="U22" s="32">
        <f t="shared" si="6"/>
        <v>4.729333333333333</v>
      </c>
      <c r="V22" s="2">
        <f t="shared" si="7"/>
        <v>5320.5</v>
      </c>
      <c r="W22" s="2">
        <f t="shared" si="8"/>
        <v>1241.45</v>
      </c>
      <c r="X22" s="2">
        <f t="shared" si="9"/>
        <v>11527.75</v>
      </c>
      <c r="Y22" s="2">
        <f t="shared" si="10"/>
        <v>1037.4975</v>
      </c>
      <c r="Z22" s="2">
        <f t="shared" si="11"/>
        <v>276.666</v>
      </c>
      <c r="AA22" s="2">
        <f t="shared" si="12"/>
        <v>2555.6135</v>
      </c>
      <c r="AB22" s="2">
        <f t="shared" si="13"/>
        <v>17.037423333333333</v>
      </c>
    </row>
    <row r="23" spans="1:28" ht="15">
      <c r="A23" s="30" t="str">
        <f t="shared" si="0"/>
        <v>Cult &amp; Post8R-30</v>
      </c>
      <c r="B23" s="47" t="s">
        <v>176</v>
      </c>
      <c r="C23" s="47" t="s">
        <v>101</v>
      </c>
      <c r="D23" s="49">
        <v>20</v>
      </c>
      <c r="E23" s="3">
        <v>5</v>
      </c>
      <c r="F23" s="3">
        <v>0.8</v>
      </c>
      <c r="G23" s="84">
        <f t="shared" si="1"/>
        <v>0.103125</v>
      </c>
      <c r="H23" s="149">
        <v>20627</v>
      </c>
      <c r="I23" s="150">
        <v>30</v>
      </c>
      <c r="J23" s="150">
        <v>40</v>
      </c>
      <c r="K23" s="150">
        <v>10</v>
      </c>
      <c r="L23" s="150">
        <v>150</v>
      </c>
      <c r="M23" s="48">
        <v>0</v>
      </c>
      <c r="N23" s="34">
        <f t="shared" si="2"/>
        <v>1500</v>
      </c>
      <c r="O23" s="28">
        <v>1</v>
      </c>
      <c r="P23" s="41">
        <v>0.27</v>
      </c>
      <c r="Q23" s="41">
        <v>1.4</v>
      </c>
      <c r="R23" s="31">
        <f t="shared" si="3"/>
        <v>391.135824684962</v>
      </c>
      <c r="S23" s="31">
        <f t="shared" si="4"/>
        <v>2.6075721645664136</v>
      </c>
      <c r="T23" s="32">
        <f t="shared" si="5"/>
        <v>825.0799999999999</v>
      </c>
      <c r="U23" s="32">
        <f t="shared" si="6"/>
        <v>5.500533333333333</v>
      </c>
      <c r="V23" s="2">
        <f t="shared" si="7"/>
        <v>6188.1</v>
      </c>
      <c r="W23" s="2">
        <f t="shared" si="8"/>
        <v>1443.8899999999999</v>
      </c>
      <c r="X23" s="2">
        <f t="shared" si="9"/>
        <v>13407.55</v>
      </c>
      <c r="Y23" s="2">
        <f t="shared" si="10"/>
        <v>1206.6795</v>
      </c>
      <c r="Z23" s="2">
        <f t="shared" si="11"/>
        <v>321.7812</v>
      </c>
      <c r="AA23" s="2">
        <f t="shared" si="12"/>
        <v>2972.3507</v>
      </c>
      <c r="AB23" s="2">
        <f t="shared" si="13"/>
        <v>19.815671333333334</v>
      </c>
    </row>
    <row r="24" spans="1:28" ht="15">
      <c r="A24" s="30" t="str">
        <f t="shared" si="0"/>
        <v>Cult &amp; Post8R-36</v>
      </c>
      <c r="B24" s="47" t="s">
        <v>176</v>
      </c>
      <c r="C24" s="47" t="s">
        <v>377</v>
      </c>
      <c r="D24" s="49">
        <v>24</v>
      </c>
      <c r="E24" s="3">
        <v>5</v>
      </c>
      <c r="F24" s="3">
        <v>0.8</v>
      </c>
      <c r="G24" s="84">
        <f t="shared" si="1"/>
        <v>0.0859375</v>
      </c>
      <c r="H24" s="149">
        <v>22021</v>
      </c>
      <c r="I24" s="150">
        <v>30</v>
      </c>
      <c r="J24" s="150">
        <v>40</v>
      </c>
      <c r="K24" s="150">
        <v>10</v>
      </c>
      <c r="L24" s="150">
        <v>150</v>
      </c>
      <c r="M24" s="48">
        <v>0</v>
      </c>
      <c r="N24" s="34">
        <f t="shared" si="2"/>
        <v>1500</v>
      </c>
      <c r="O24" s="28">
        <v>1</v>
      </c>
      <c r="P24" s="41">
        <v>0.27</v>
      </c>
      <c r="Q24" s="41">
        <v>1.4</v>
      </c>
      <c r="R24" s="31">
        <f t="shared" si="3"/>
        <v>417.56930214706694</v>
      </c>
      <c r="S24" s="31">
        <f t="shared" si="4"/>
        <v>2.783795347647113</v>
      </c>
      <c r="T24" s="32">
        <f t="shared" si="5"/>
        <v>880.8399999999999</v>
      </c>
      <c r="U24" s="32">
        <f t="shared" si="6"/>
        <v>5.8722666666666665</v>
      </c>
      <c r="V24" s="2">
        <f t="shared" si="7"/>
        <v>6606.3</v>
      </c>
      <c r="W24" s="2">
        <f t="shared" si="8"/>
        <v>1541.47</v>
      </c>
      <c r="X24" s="2">
        <f t="shared" si="9"/>
        <v>14313.65</v>
      </c>
      <c r="Y24" s="2">
        <f t="shared" si="10"/>
        <v>1288.2285</v>
      </c>
      <c r="Z24" s="2">
        <f t="shared" si="11"/>
        <v>343.5276</v>
      </c>
      <c r="AA24" s="2">
        <f t="shared" si="12"/>
        <v>3173.2261</v>
      </c>
      <c r="AB24" s="2">
        <f t="shared" si="13"/>
        <v>21.154840666666665</v>
      </c>
    </row>
    <row r="25" spans="1:28" ht="15">
      <c r="A25" s="30" t="str">
        <f t="shared" si="0"/>
        <v>Cult &amp; Post8R-40 2x1</v>
      </c>
      <c r="B25" s="47" t="s">
        <v>176</v>
      </c>
      <c r="C25" s="47" t="s">
        <v>113</v>
      </c>
      <c r="D25" s="49">
        <v>40</v>
      </c>
      <c r="E25" s="3">
        <v>5</v>
      </c>
      <c r="F25" s="3">
        <v>0.8</v>
      </c>
      <c r="G25" s="84">
        <f t="shared" si="1"/>
        <v>0.0515625</v>
      </c>
      <c r="H25" s="149">
        <v>31338</v>
      </c>
      <c r="I25" s="150">
        <v>30</v>
      </c>
      <c r="J25" s="150">
        <v>40</v>
      </c>
      <c r="K25" s="150">
        <v>10</v>
      </c>
      <c r="L25" s="150">
        <v>150</v>
      </c>
      <c r="M25" s="48">
        <v>0</v>
      </c>
      <c r="N25" s="34">
        <f t="shared" si="2"/>
        <v>1500</v>
      </c>
      <c r="O25" s="28">
        <v>1</v>
      </c>
      <c r="P25" s="41">
        <v>0.27</v>
      </c>
      <c r="Q25" s="41">
        <v>1.4</v>
      </c>
      <c r="R25" s="31">
        <f t="shared" si="3"/>
        <v>594.2412601918525</v>
      </c>
      <c r="S25" s="31">
        <f t="shared" si="4"/>
        <v>3.9616084012790163</v>
      </c>
      <c r="T25" s="32">
        <f t="shared" si="5"/>
        <v>1253.52</v>
      </c>
      <c r="U25" s="32">
        <f t="shared" si="6"/>
        <v>8.3568</v>
      </c>
      <c r="V25" s="2">
        <f t="shared" si="7"/>
        <v>9401.4</v>
      </c>
      <c r="W25" s="2">
        <f t="shared" si="8"/>
        <v>2193.66</v>
      </c>
      <c r="X25" s="2">
        <f t="shared" si="9"/>
        <v>20369.7</v>
      </c>
      <c r="Y25" s="2">
        <f t="shared" si="10"/>
        <v>1833.273</v>
      </c>
      <c r="Z25" s="2">
        <f t="shared" si="11"/>
        <v>488.87280000000004</v>
      </c>
      <c r="AA25" s="2">
        <f t="shared" si="12"/>
        <v>4515.8058</v>
      </c>
      <c r="AB25" s="2">
        <f t="shared" si="13"/>
        <v>30.105372</v>
      </c>
    </row>
    <row r="26" spans="1:28" ht="15">
      <c r="A26" s="30" t="str">
        <f t="shared" si="0"/>
        <v>Cultipacker12'</v>
      </c>
      <c r="B26" s="47" t="s">
        <v>106</v>
      </c>
      <c r="C26" s="47" t="s">
        <v>92</v>
      </c>
      <c r="D26" s="49">
        <v>12</v>
      </c>
      <c r="E26" s="3">
        <v>6.5</v>
      </c>
      <c r="F26" s="3">
        <v>0.85</v>
      </c>
      <c r="G26" s="84">
        <f t="shared" si="1"/>
        <v>0.12443438914027148</v>
      </c>
      <c r="H26" s="149">
        <v>3666</v>
      </c>
      <c r="I26" s="150">
        <v>25</v>
      </c>
      <c r="J26" s="150">
        <v>85</v>
      </c>
      <c r="K26" s="150">
        <v>12</v>
      </c>
      <c r="L26" s="150">
        <v>300</v>
      </c>
      <c r="M26" s="48">
        <v>0</v>
      </c>
      <c r="N26" s="34">
        <f t="shared" si="2"/>
        <v>3600</v>
      </c>
      <c r="O26" s="28">
        <v>1</v>
      </c>
      <c r="P26" s="41">
        <v>0.27</v>
      </c>
      <c r="Q26" s="41">
        <v>1.4</v>
      </c>
      <c r="R26" s="31">
        <f t="shared" si="3"/>
        <v>183.4534913725907</v>
      </c>
      <c r="S26" s="31">
        <f t="shared" si="4"/>
        <v>0.6115116379086356</v>
      </c>
      <c r="T26" s="32">
        <f t="shared" si="5"/>
        <v>259.675</v>
      </c>
      <c r="U26" s="32">
        <f t="shared" si="6"/>
        <v>0.8655833333333334</v>
      </c>
      <c r="V26" s="2">
        <f t="shared" si="7"/>
        <v>916.5</v>
      </c>
      <c r="W26" s="2">
        <f t="shared" si="8"/>
        <v>229.125</v>
      </c>
      <c r="X26" s="2">
        <f t="shared" si="9"/>
        <v>2291.25</v>
      </c>
      <c r="Y26" s="2">
        <f t="shared" si="10"/>
        <v>206.2125</v>
      </c>
      <c r="Z26" s="2">
        <f t="shared" si="11"/>
        <v>54.99</v>
      </c>
      <c r="AA26" s="2">
        <f t="shared" si="12"/>
        <v>490.3275</v>
      </c>
      <c r="AB26" s="2">
        <f t="shared" si="13"/>
        <v>1.634425</v>
      </c>
    </row>
    <row r="27" spans="1:28" ht="15">
      <c r="A27" s="30" t="str">
        <f t="shared" si="0"/>
        <v>Cultipacker20'</v>
      </c>
      <c r="B27" s="47" t="s">
        <v>106</v>
      </c>
      <c r="C27" s="47" t="s">
        <v>107</v>
      </c>
      <c r="D27" s="49">
        <v>20</v>
      </c>
      <c r="E27" s="3">
        <v>6.5</v>
      </c>
      <c r="F27" s="3">
        <v>0.85</v>
      </c>
      <c r="G27" s="84">
        <f t="shared" si="1"/>
        <v>0.0746606334841629</v>
      </c>
      <c r="H27" s="149">
        <v>11414</v>
      </c>
      <c r="I27" s="150">
        <v>25</v>
      </c>
      <c r="J27" s="150">
        <v>85</v>
      </c>
      <c r="K27" s="150">
        <v>12</v>
      </c>
      <c r="L27" s="150">
        <v>300</v>
      </c>
      <c r="M27" s="48">
        <v>0</v>
      </c>
      <c r="N27" s="34">
        <f t="shared" si="2"/>
        <v>3600</v>
      </c>
      <c r="O27" s="28">
        <v>1</v>
      </c>
      <c r="P27" s="41">
        <v>0.27</v>
      </c>
      <c r="Q27" s="41">
        <v>1.4</v>
      </c>
      <c r="R27" s="31">
        <f t="shared" si="3"/>
        <v>571.1778915784917</v>
      </c>
      <c r="S27" s="31">
        <f t="shared" si="4"/>
        <v>1.9039263052616389</v>
      </c>
      <c r="T27" s="32">
        <f t="shared" si="5"/>
        <v>808.4916666666667</v>
      </c>
      <c r="U27" s="32">
        <f t="shared" si="6"/>
        <v>2.6949722222222223</v>
      </c>
      <c r="V27" s="2">
        <f t="shared" si="7"/>
        <v>2853.5</v>
      </c>
      <c r="W27" s="2">
        <f t="shared" si="8"/>
        <v>713.375</v>
      </c>
      <c r="X27" s="2">
        <f t="shared" si="9"/>
        <v>7133.75</v>
      </c>
      <c r="Y27" s="2">
        <f t="shared" si="10"/>
        <v>642.0375</v>
      </c>
      <c r="Z27" s="2">
        <f t="shared" si="11"/>
        <v>171.21</v>
      </c>
      <c r="AA27" s="2">
        <f t="shared" si="12"/>
        <v>1526.6225</v>
      </c>
      <c r="AB27" s="2">
        <f t="shared" si="13"/>
        <v>5.0887416666666665</v>
      </c>
    </row>
    <row r="28" spans="1:28" ht="15">
      <c r="A28" s="30" t="str">
        <f t="shared" si="0"/>
        <v>Cultivate10R-30</v>
      </c>
      <c r="B28" s="47" t="s">
        <v>177</v>
      </c>
      <c r="C28" s="47" t="s">
        <v>103</v>
      </c>
      <c r="D28" s="49">
        <v>25</v>
      </c>
      <c r="E28" s="3">
        <v>5</v>
      </c>
      <c r="F28" s="3">
        <v>0.8</v>
      </c>
      <c r="G28" s="84">
        <f t="shared" si="1"/>
        <v>0.0825</v>
      </c>
      <c r="H28" s="150">
        <v>19800</v>
      </c>
      <c r="I28" s="150">
        <v>30</v>
      </c>
      <c r="J28" s="150">
        <v>40</v>
      </c>
      <c r="K28" s="150">
        <v>10</v>
      </c>
      <c r="L28" s="150">
        <v>150</v>
      </c>
      <c r="M28" s="48">
        <v>0</v>
      </c>
      <c r="N28" s="34">
        <f t="shared" si="2"/>
        <v>1500</v>
      </c>
      <c r="O28" s="28">
        <v>1</v>
      </c>
      <c r="P28" s="41">
        <v>0.27</v>
      </c>
      <c r="Q28" s="41">
        <v>1.4</v>
      </c>
      <c r="R28" s="31">
        <f t="shared" si="3"/>
        <v>375.45398403850527</v>
      </c>
      <c r="S28" s="31">
        <f t="shared" si="4"/>
        <v>2.5030265602567017</v>
      </c>
      <c r="T28" s="32">
        <f t="shared" si="5"/>
        <v>792</v>
      </c>
      <c r="U28" s="32">
        <f t="shared" si="6"/>
        <v>5.28</v>
      </c>
      <c r="V28" s="2">
        <f t="shared" si="7"/>
        <v>5940</v>
      </c>
      <c r="W28" s="2">
        <f t="shared" si="8"/>
        <v>1386</v>
      </c>
      <c r="X28" s="2">
        <f t="shared" si="9"/>
        <v>12870</v>
      </c>
      <c r="Y28" s="2">
        <f t="shared" si="10"/>
        <v>1158.3</v>
      </c>
      <c r="Z28" s="2">
        <f t="shared" si="11"/>
        <v>308.88</v>
      </c>
      <c r="AA28" s="2">
        <f t="shared" si="12"/>
        <v>2853.18</v>
      </c>
      <c r="AB28" s="2">
        <f t="shared" si="13"/>
        <v>19.0212</v>
      </c>
    </row>
    <row r="29" spans="1:28" ht="15">
      <c r="A29" s="30" t="str">
        <f t="shared" si="0"/>
        <v>Cultivate10R-36</v>
      </c>
      <c r="B29" s="47" t="s">
        <v>177</v>
      </c>
      <c r="C29" s="47" t="s">
        <v>375</v>
      </c>
      <c r="D29" s="49">
        <v>30</v>
      </c>
      <c r="E29" s="3">
        <v>5</v>
      </c>
      <c r="F29" s="3">
        <v>0.8</v>
      </c>
      <c r="G29" s="84">
        <f t="shared" si="1"/>
        <v>0.06875</v>
      </c>
      <c r="H29" s="150">
        <v>23941</v>
      </c>
      <c r="I29" s="150">
        <v>30</v>
      </c>
      <c r="J29" s="150">
        <v>40</v>
      </c>
      <c r="K29" s="150">
        <v>10</v>
      </c>
      <c r="L29" s="150">
        <v>150</v>
      </c>
      <c r="M29" s="48">
        <v>0</v>
      </c>
      <c r="N29" s="34">
        <f t="shared" si="2"/>
        <v>1500</v>
      </c>
      <c r="O29" s="28">
        <v>1</v>
      </c>
      <c r="P29" s="41">
        <v>0.27</v>
      </c>
      <c r="Q29" s="41">
        <v>1.4</v>
      </c>
      <c r="R29" s="31">
        <f t="shared" si="3"/>
        <v>453.97696120534624</v>
      </c>
      <c r="S29" s="31">
        <f t="shared" si="4"/>
        <v>3.0265130747023083</v>
      </c>
      <c r="T29" s="32">
        <f t="shared" si="5"/>
        <v>957.64</v>
      </c>
      <c r="U29" s="32">
        <f t="shared" si="6"/>
        <v>6.384266666666667</v>
      </c>
      <c r="V29" s="2">
        <f t="shared" si="7"/>
        <v>7182.3</v>
      </c>
      <c r="W29" s="2">
        <f t="shared" si="8"/>
        <v>1675.8700000000001</v>
      </c>
      <c r="X29" s="2">
        <f t="shared" si="9"/>
        <v>15561.65</v>
      </c>
      <c r="Y29" s="2">
        <f t="shared" si="10"/>
        <v>1400.5484999999999</v>
      </c>
      <c r="Z29" s="2">
        <f t="shared" si="11"/>
        <v>373.4796</v>
      </c>
      <c r="AA29" s="2">
        <f t="shared" si="12"/>
        <v>3449.8981000000003</v>
      </c>
      <c r="AB29" s="2">
        <f t="shared" si="13"/>
        <v>22.99932066666667</v>
      </c>
    </row>
    <row r="30" spans="1:28" ht="15">
      <c r="A30" s="30" t="str">
        <f t="shared" si="0"/>
        <v>Cultivate12R-36</v>
      </c>
      <c r="B30" s="47" t="s">
        <v>177</v>
      </c>
      <c r="C30" s="47" t="s">
        <v>376</v>
      </c>
      <c r="D30" s="49">
        <v>36</v>
      </c>
      <c r="E30" s="3">
        <v>5</v>
      </c>
      <c r="F30" s="3">
        <v>0.8</v>
      </c>
      <c r="G30" s="84">
        <f t="shared" si="1"/>
        <v>0.05729166666666667</v>
      </c>
      <c r="H30" s="150">
        <v>25766</v>
      </c>
      <c r="I30" s="150">
        <v>30</v>
      </c>
      <c r="J30" s="150">
        <v>40</v>
      </c>
      <c r="K30" s="150">
        <v>10</v>
      </c>
      <c r="L30" s="150">
        <v>150</v>
      </c>
      <c r="M30" s="48">
        <v>0</v>
      </c>
      <c r="N30" s="34">
        <f t="shared" si="2"/>
        <v>1500</v>
      </c>
      <c r="O30" s="28">
        <v>1</v>
      </c>
      <c r="P30" s="41">
        <v>0.27</v>
      </c>
      <c r="Q30" s="41">
        <v>1.4</v>
      </c>
      <c r="R30" s="31">
        <f t="shared" si="3"/>
        <v>488.5831996331378</v>
      </c>
      <c r="S30" s="31">
        <f t="shared" si="4"/>
        <v>3.2572213308875853</v>
      </c>
      <c r="T30" s="32">
        <f t="shared" si="5"/>
        <v>1030.6399999999999</v>
      </c>
      <c r="U30" s="32">
        <f t="shared" si="6"/>
        <v>6.8709333333333324</v>
      </c>
      <c r="V30" s="2">
        <f t="shared" si="7"/>
        <v>7729.8</v>
      </c>
      <c r="W30" s="2">
        <f t="shared" si="8"/>
        <v>1803.6200000000001</v>
      </c>
      <c r="X30" s="2">
        <f t="shared" si="9"/>
        <v>16747.9</v>
      </c>
      <c r="Y30" s="2">
        <f t="shared" si="10"/>
        <v>1507.3110000000001</v>
      </c>
      <c r="Z30" s="2">
        <f t="shared" si="11"/>
        <v>401.94960000000003</v>
      </c>
      <c r="AA30" s="2">
        <f t="shared" si="12"/>
        <v>3712.8806000000004</v>
      </c>
      <c r="AB30" s="2">
        <f t="shared" si="13"/>
        <v>24.752537333333336</v>
      </c>
    </row>
    <row r="31" spans="1:28" ht="15">
      <c r="A31" s="30" t="str">
        <f t="shared" si="0"/>
        <v>Cultivate4R-36</v>
      </c>
      <c r="B31" s="47" t="s">
        <v>177</v>
      </c>
      <c r="C31" s="47" t="s">
        <v>373</v>
      </c>
      <c r="D31" s="49">
        <v>12</v>
      </c>
      <c r="E31" s="3">
        <v>5</v>
      </c>
      <c r="F31" s="3">
        <v>0.8</v>
      </c>
      <c r="G31" s="84">
        <f t="shared" si="1"/>
        <v>0.171875</v>
      </c>
      <c r="H31" s="150">
        <v>7938</v>
      </c>
      <c r="I31" s="150">
        <v>30</v>
      </c>
      <c r="J31" s="150">
        <v>40</v>
      </c>
      <c r="K31" s="150">
        <v>10</v>
      </c>
      <c r="L31" s="150">
        <v>150</v>
      </c>
      <c r="M31" s="48">
        <v>0</v>
      </c>
      <c r="N31" s="34">
        <f t="shared" si="2"/>
        <v>1500</v>
      </c>
      <c r="O31" s="28">
        <v>1</v>
      </c>
      <c r="P31" s="41">
        <v>0.27</v>
      </c>
      <c r="Q31" s="41">
        <v>1.4</v>
      </c>
      <c r="R31" s="31">
        <f t="shared" si="3"/>
        <v>150.52291541907348</v>
      </c>
      <c r="S31" s="31">
        <f t="shared" si="4"/>
        <v>1.0034861027938233</v>
      </c>
      <c r="T31" s="32">
        <f t="shared" si="5"/>
        <v>317.52</v>
      </c>
      <c r="U31" s="32">
        <f t="shared" si="6"/>
        <v>2.1168</v>
      </c>
      <c r="V31" s="2">
        <f t="shared" si="7"/>
        <v>2381.4</v>
      </c>
      <c r="W31" s="2">
        <f t="shared" si="8"/>
        <v>555.6600000000001</v>
      </c>
      <c r="X31" s="2">
        <f t="shared" si="9"/>
        <v>5159.7</v>
      </c>
      <c r="Y31" s="2">
        <f t="shared" si="10"/>
        <v>464.373</v>
      </c>
      <c r="Z31" s="2">
        <f t="shared" si="11"/>
        <v>123.83279999999999</v>
      </c>
      <c r="AA31" s="2">
        <f t="shared" si="12"/>
        <v>1143.8658</v>
      </c>
      <c r="AB31" s="2">
        <f t="shared" si="13"/>
        <v>7.625772</v>
      </c>
    </row>
    <row r="32" spans="1:28" ht="15">
      <c r="A32" s="30" t="str">
        <f t="shared" si="0"/>
        <v>Cultivate6R-30</v>
      </c>
      <c r="B32" s="47" t="s">
        <v>177</v>
      </c>
      <c r="C32" s="47" t="s">
        <v>99</v>
      </c>
      <c r="D32" s="49">
        <v>15</v>
      </c>
      <c r="E32" s="3">
        <v>5</v>
      </c>
      <c r="F32" s="3">
        <v>0.8</v>
      </c>
      <c r="G32" s="84">
        <f t="shared" si="1"/>
        <v>0.1375</v>
      </c>
      <c r="H32" s="150">
        <v>11992</v>
      </c>
      <c r="I32" s="150">
        <v>30</v>
      </c>
      <c r="J32" s="150">
        <v>40</v>
      </c>
      <c r="K32" s="150">
        <v>10</v>
      </c>
      <c r="L32" s="150">
        <v>150</v>
      </c>
      <c r="M32" s="48">
        <v>0</v>
      </c>
      <c r="N32" s="34">
        <f t="shared" si="2"/>
        <v>1500</v>
      </c>
      <c r="O32" s="28">
        <v>1</v>
      </c>
      <c r="P32" s="41">
        <v>0.27</v>
      </c>
      <c r="Q32" s="41">
        <v>1.4</v>
      </c>
      <c r="R32" s="31">
        <f t="shared" si="3"/>
        <v>227.39617053483613</v>
      </c>
      <c r="S32" s="31">
        <f t="shared" si="4"/>
        <v>1.5159744702322409</v>
      </c>
      <c r="T32" s="32">
        <f t="shared" si="5"/>
        <v>479.68</v>
      </c>
      <c r="U32" s="32">
        <f t="shared" si="6"/>
        <v>3.1978666666666666</v>
      </c>
      <c r="V32" s="2">
        <f t="shared" si="7"/>
        <v>3597.6</v>
      </c>
      <c r="W32" s="2">
        <f t="shared" si="8"/>
        <v>839.4399999999999</v>
      </c>
      <c r="X32" s="2">
        <f t="shared" si="9"/>
        <v>7794.8</v>
      </c>
      <c r="Y32" s="2">
        <f t="shared" si="10"/>
        <v>701.532</v>
      </c>
      <c r="Z32" s="2">
        <f t="shared" si="11"/>
        <v>187.0752</v>
      </c>
      <c r="AA32" s="2">
        <f t="shared" si="12"/>
        <v>1728.0472</v>
      </c>
      <c r="AB32" s="2">
        <f t="shared" si="13"/>
        <v>11.520314666666666</v>
      </c>
    </row>
    <row r="33" spans="1:28" ht="15">
      <c r="A33" s="30" t="str">
        <f t="shared" si="0"/>
        <v>Cultivate6R-36</v>
      </c>
      <c r="B33" s="47" t="s">
        <v>177</v>
      </c>
      <c r="C33" s="47" t="s">
        <v>374</v>
      </c>
      <c r="D33" s="49">
        <v>18</v>
      </c>
      <c r="E33" s="3">
        <v>5</v>
      </c>
      <c r="F33" s="3">
        <v>0.8</v>
      </c>
      <c r="G33" s="84">
        <f t="shared" si="1"/>
        <v>0.11458333333333334</v>
      </c>
      <c r="H33" s="150">
        <v>12366</v>
      </c>
      <c r="I33" s="150">
        <v>30</v>
      </c>
      <c r="J33" s="150">
        <v>40</v>
      </c>
      <c r="K33" s="150">
        <v>10</v>
      </c>
      <c r="L33" s="150">
        <v>150</v>
      </c>
      <c r="M33" s="48">
        <v>0</v>
      </c>
      <c r="N33" s="34">
        <f t="shared" si="2"/>
        <v>1500</v>
      </c>
      <c r="O33" s="28">
        <v>1</v>
      </c>
      <c r="P33" s="41">
        <v>0.27</v>
      </c>
      <c r="Q33" s="41">
        <v>1.4</v>
      </c>
      <c r="R33" s="31">
        <f t="shared" si="3"/>
        <v>234.48807912223012</v>
      </c>
      <c r="S33" s="31">
        <f t="shared" si="4"/>
        <v>1.5632538608148674</v>
      </c>
      <c r="T33" s="32">
        <f t="shared" si="5"/>
        <v>494.64</v>
      </c>
      <c r="U33" s="32">
        <f t="shared" si="6"/>
        <v>3.2976</v>
      </c>
      <c r="V33" s="2">
        <f t="shared" si="7"/>
        <v>3709.8</v>
      </c>
      <c r="W33" s="2">
        <f t="shared" si="8"/>
        <v>865.6200000000001</v>
      </c>
      <c r="X33" s="2">
        <f t="shared" si="9"/>
        <v>8037.9</v>
      </c>
      <c r="Y33" s="2">
        <f t="shared" si="10"/>
        <v>723.411</v>
      </c>
      <c r="Z33" s="2">
        <f t="shared" si="11"/>
        <v>192.90959999999998</v>
      </c>
      <c r="AA33" s="2">
        <f t="shared" si="12"/>
        <v>1781.9406</v>
      </c>
      <c r="AB33" s="2">
        <f t="shared" si="13"/>
        <v>11.879603999999999</v>
      </c>
    </row>
    <row r="34" spans="1:28" ht="15">
      <c r="A34" s="30" t="str">
        <f t="shared" si="0"/>
        <v>Cultivate8R-30</v>
      </c>
      <c r="B34" s="47" t="s">
        <v>177</v>
      </c>
      <c r="C34" s="47" t="s">
        <v>101</v>
      </c>
      <c r="D34" s="49">
        <v>20</v>
      </c>
      <c r="E34" s="3">
        <v>5</v>
      </c>
      <c r="F34" s="3">
        <v>0.8</v>
      </c>
      <c r="G34" s="84">
        <f t="shared" si="1"/>
        <v>0.103125</v>
      </c>
      <c r="H34" s="150">
        <v>12258</v>
      </c>
      <c r="I34" s="150">
        <v>30</v>
      </c>
      <c r="J34" s="150">
        <v>40</v>
      </c>
      <c r="K34" s="150">
        <v>10</v>
      </c>
      <c r="L34" s="150">
        <v>150</v>
      </c>
      <c r="M34" s="48">
        <v>0</v>
      </c>
      <c r="N34" s="34">
        <f t="shared" si="2"/>
        <v>1500</v>
      </c>
      <c r="O34" s="28">
        <v>1</v>
      </c>
      <c r="P34" s="41">
        <v>0.27</v>
      </c>
      <c r="Q34" s="41">
        <v>1.4</v>
      </c>
      <c r="R34" s="31">
        <f t="shared" si="3"/>
        <v>232.4401483002019</v>
      </c>
      <c r="S34" s="31">
        <f t="shared" si="4"/>
        <v>1.5496009886680127</v>
      </c>
      <c r="T34" s="32">
        <f t="shared" si="5"/>
        <v>490.32</v>
      </c>
      <c r="U34" s="32">
        <f t="shared" si="6"/>
        <v>3.2688</v>
      </c>
      <c r="V34" s="2">
        <f t="shared" si="7"/>
        <v>3677.4</v>
      </c>
      <c r="W34" s="2">
        <f t="shared" si="8"/>
        <v>858.0600000000001</v>
      </c>
      <c r="X34" s="2">
        <f t="shared" si="9"/>
        <v>7967.7</v>
      </c>
      <c r="Y34" s="2">
        <f t="shared" si="10"/>
        <v>717.093</v>
      </c>
      <c r="Z34" s="2">
        <f t="shared" si="11"/>
        <v>191.2248</v>
      </c>
      <c r="AA34" s="2">
        <f t="shared" si="12"/>
        <v>1766.3778</v>
      </c>
      <c r="AB34" s="2">
        <f t="shared" si="13"/>
        <v>11.775852</v>
      </c>
    </row>
    <row r="35" spans="1:28" ht="15">
      <c r="A35" s="30" t="str">
        <f t="shared" si="0"/>
        <v>Cultivate8R-36</v>
      </c>
      <c r="B35" s="47" t="s">
        <v>177</v>
      </c>
      <c r="C35" s="47" t="s">
        <v>377</v>
      </c>
      <c r="D35" s="49">
        <v>24</v>
      </c>
      <c r="E35" s="3">
        <v>5</v>
      </c>
      <c r="F35" s="3">
        <v>0.8</v>
      </c>
      <c r="G35" s="84">
        <f t="shared" si="1"/>
        <v>0.0859375</v>
      </c>
      <c r="H35" s="150">
        <v>16651</v>
      </c>
      <c r="I35" s="150">
        <v>30</v>
      </c>
      <c r="J35" s="150">
        <v>40</v>
      </c>
      <c r="K35" s="150">
        <v>10</v>
      </c>
      <c r="L35" s="150">
        <v>150</v>
      </c>
      <c r="M35" s="48">
        <v>0</v>
      </c>
      <c r="N35" s="34">
        <f t="shared" si="2"/>
        <v>1500</v>
      </c>
      <c r="O35" s="28">
        <v>1</v>
      </c>
      <c r="P35" s="41">
        <v>0.27</v>
      </c>
      <c r="Q35" s="41">
        <v>1.4</v>
      </c>
      <c r="R35" s="31">
        <f t="shared" si="3"/>
        <v>315.741630718442</v>
      </c>
      <c r="S35" s="31">
        <f t="shared" si="4"/>
        <v>2.1049442047896134</v>
      </c>
      <c r="T35" s="32">
        <f t="shared" si="5"/>
        <v>666.04</v>
      </c>
      <c r="U35" s="32">
        <f t="shared" si="6"/>
        <v>4.440266666666666</v>
      </c>
      <c r="V35" s="2">
        <f t="shared" si="7"/>
        <v>4995.3</v>
      </c>
      <c r="W35" s="2">
        <f t="shared" si="8"/>
        <v>1165.5700000000002</v>
      </c>
      <c r="X35" s="2">
        <f t="shared" si="9"/>
        <v>10823.15</v>
      </c>
      <c r="Y35" s="2">
        <f t="shared" si="10"/>
        <v>974.0835</v>
      </c>
      <c r="Z35" s="2">
        <f t="shared" si="11"/>
        <v>259.7556</v>
      </c>
      <c r="AA35" s="2">
        <f t="shared" si="12"/>
        <v>2399.4091</v>
      </c>
      <c r="AB35" s="2">
        <f t="shared" si="13"/>
        <v>15.996060666666665</v>
      </c>
    </row>
    <row r="36" spans="1:28" ht="15">
      <c r="A36" s="30" t="str">
        <f t="shared" si="0"/>
        <v>Cultivate8R-40 2x1</v>
      </c>
      <c r="B36" s="47" t="s">
        <v>177</v>
      </c>
      <c r="C36" s="47" t="s">
        <v>113</v>
      </c>
      <c r="D36" s="49">
        <v>40</v>
      </c>
      <c r="E36" s="3">
        <v>5</v>
      </c>
      <c r="F36" s="3">
        <v>0.8</v>
      </c>
      <c r="G36" s="84">
        <f t="shared" si="1"/>
        <v>0.0515625</v>
      </c>
      <c r="H36" s="150">
        <v>25766</v>
      </c>
      <c r="I36" s="150">
        <v>30</v>
      </c>
      <c r="J36" s="150">
        <v>40</v>
      </c>
      <c r="K36" s="150">
        <v>10</v>
      </c>
      <c r="L36" s="150">
        <v>150</v>
      </c>
      <c r="M36" s="48">
        <v>0</v>
      </c>
      <c r="N36" s="34">
        <f t="shared" si="2"/>
        <v>1500</v>
      </c>
      <c r="O36" s="28">
        <v>1</v>
      </c>
      <c r="P36" s="41">
        <v>0.27</v>
      </c>
      <c r="Q36" s="41">
        <v>1.4</v>
      </c>
      <c r="R36" s="31">
        <f t="shared" si="3"/>
        <v>488.5831996331378</v>
      </c>
      <c r="S36" s="31">
        <f t="shared" si="4"/>
        <v>3.2572213308875853</v>
      </c>
      <c r="T36" s="32">
        <f t="shared" si="5"/>
        <v>1030.6399999999999</v>
      </c>
      <c r="U36" s="32">
        <f t="shared" si="6"/>
        <v>6.8709333333333324</v>
      </c>
      <c r="V36" s="2">
        <f t="shared" si="7"/>
        <v>7729.8</v>
      </c>
      <c r="W36" s="2">
        <f t="shared" si="8"/>
        <v>1803.6200000000001</v>
      </c>
      <c r="X36" s="2">
        <f t="shared" si="9"/>
        <v>16747.9</v>
      </c>
      <c r="Y36" s="2">
        <f t="shared" si="10"/>
        <v>1507.3110000000001</v>
      </c>
      <c r="Z36" s="2">
        <f t="shared" si="11"/>
        <v>401.94960000000003</v>
      </c>
      <c r="AA36" s="2">
        <f t="shared" si="12"/>
        <v>3712.8806000000004</v>
      </c>
      <c r="AB36" s="2">
        <f t="shared" si="13"/>
        <v>24.752537333333336</v>
      </c>
    </row>
    <row r="37" spans="1:28" ht="15">
      <c r="A37" s="30" t="str">
        <f t="shared" si="0"/>
        <v>Disk &amp; Incorporate14'</v>
      </c>
      <c r="B37" s="47" t="s">
        <v>108</v>
      </c>
      <c r="C37" s="47" t="s">
        <v>109</v>
      </c>
      <c r="D37" s="49">
        <v>14</v>
      </c>
      <c r="E37" s="3">
        <v>5</v>
      </c>
      <c r="F37" s="3">
        <v>0.8</v>
      </c>
      <c r="G37" s="84">
        <f t="shared" si="1"/>
        <v>0.14732142857142858</v>
      </c>
      <c r="H37" s="150">
        <v>16285</v>
      </c>
      <c r="I37" s="150">
        <v>30</v>
      </c>
      <c r="J37" s="150">
        <v>60</v>
      </c>
      <c r="K37" s="150">
        <v>10</v>
      </c>
      <c r="L37" s="150">
        <v>200</v>
      </c>
      <c r="M37" s="48">
        <v>0</v>
      </c>
      <c r="N37" s="34">
        <f t="shared" si="2"/>
        <v>2000</v>
      </c>
      <c r="O37" s="28">
        <v>1</v>
      </c>
      <c r="P37" s="41">
        <v>0.27</v>
      </c>
      <c r="Q37" s="41">
        <v>1.4</v>
      </c>
      <c r="R37" s="31">
        <f t="shared" si="3"/>
        <v>461.9484571829259</v>
      </c>
      <c r="S37" s="31">
        <f t="shared" si="4"/>
        <v>2.3097422859146293</v>
      </c>
      <c r="T37" s="32">
        <f t="shared" si="5"/>
        <v>977.1</v>
      </c>
      <c r="U37" s="32">
        <f t="shared" si="6"/>
        <v>4.8855</v>
      </c>
      <c r="V37" s="2">
        <f t="shared" si="7"/>
        <v>4885.5</v>
      </c>
      <c r="W37" s="2">
        <f t="shared" si="8"/>
        <v>1139.95</v>
      </c>
      <c r="X37" s="2">
        <f t="shared" si="9"/>
        <v>10585.25</v>
      </c>
      <c r="Y37" s="2">
        <f t="shared" si="10"/>
        <v>952.6725</v>
      </c>
      <c r="Z37" s="2">
        <f t="shared" si="11"/>
        <v>254.046</v>
      </c>
      <c r="AA37" s="2">
        <f t="shared" si="12"/>
        <v>2346.6684999999998</v>
      </c>
      <c r="AB37" s="2">
        <f t="shared" si="13"/>
        <v>11.7333425</v>
      </c>
    </row>
    <row r="38" spans="1:28" ht="15">
      <c r="A38" s="30" t="str">
        <f t="shared" si="0"/>
        <v>Disk &amp; Incorporate24'</v>
      </c>
      <c r="B38" s="47" t="s">
        <v>108</v>
      </c>
      <c r="C38" s="47" t="s">
        <v>94</v>
      </c>
      <c r="D38" s="49">
        <v>24</v>
      </c>
      <c r="E38" s="3">
        <v>5</v>
      </c>
      <c r="F38" s="3">
        <v>0.8</v>
      </c>
      <c r="G38" s="84">
        <f aca="true" t="shared" si="14" ref="G38:G69">1/((D38*E38*5280*F38)/43560)</f>
        <v>0.0859375</v>
      </c>
      <c r="H38" s="150">
        <v>31068</v>
      </c>
      <c r="I38" s="150">
        <v>30</v>
      </c>
      <c r="J38" s="150">
        <v>60</v>
      </c>
      <c r="K38" s="150">
        <v>10</v>
      </c>
      <c r="L38" s="150">
        <v>200</v>
      </c>
      <c r="M38" s="48">
        <v>0</v>
      </c>
      <c r="N38" s="34">
        <f t="shared" si="2"/>
        <v>2000</v>
      </c>
      <c r="O38" s="28">
        <v>1</v>
      </c>
      <c r="P38" s="41">
        <v>0.27</v>
      </c>
      <c r="Q38" s="41">
        <v>1.4</v>
      </c>
      <c r="R38" s="31">
        <f t="shared" si="3"/>
        <v>881.2904309339356</v>
      </c>
      <c r="S38" s="31">
        <f t="shared" si="4"/>
        <v>4.406452154669678</v>
      </c>
      <c r="T38" s="32">
        <f t="shared" si="5"/>
        <v>1864.08</v>
      </c>
      <c r="U38" s="32">
        <f t="shared" si="6"/>
        <v>9.3204</v>
      </c>
      <c r="V38" s="2">
        <f t="shared" si="7"/>
        <v>9320.4</v>
      </c>
      <c r="W38" s="2">
        <f t="shared" si="8"/>
        <v>2174.7599999999998</v>
      </c>
      <c r="X38" s="2">
        <f t="shared" si="9"/>
        <v>20194.2</v>
      </c>
      <c r="Y38" s="2">
        <f t="shared" si="10"/>
        <v>1817.478</v>
      </c>
      <c r="Z38" s="2">
        <f t="shared" si="11"/>
        <v>484.66080000000005</v>
      </c>
      <c r="AA38" s="2">
        <f t="shared" si="12"/>
        <v>4476.8988</v>
      </c>
      <c r="AB38" s="2">
        <f t="shared" si="13"/>
        <v>22.384494</v>
      </c>
    </row>
    <row r="39" spans="1:28" ht="15">
      <c r="A39" s="30" t="str">
        <f t="shared" si="0"/>
        <v>Disk &amp; Incorporate32'</v>
      </c>
      <c r="B39" s="47" t="s">
        <v>108</v>
      </c>
      <c r="C39" s="47" t="s">
        <v>95</v>
      </c>
      <c r="D39" s="49">
        <v>32</v>
      </c>
      <c r="E39" s="3">
        <v>5</v>
      </c>
      <c r="F39" s="3">
        <v>0.8</v>
      </c>
      <c r="G39" s="84">
        <f t="shared" si="14"/>
        <v>0.064453125</v>
      </c>
      <c r="H39" s="150">
        <v>37716</v>
      </c>
      <c r="I39" s="150">
        <v>30</v>
      </c>
      <c r="J39" s="150">
        <v>60</v>
      </c>
      <c r="K39" s="150">
        <v>10</v>
      </c>
      <c r="L39" s="150">
        <v>200</v>
      </c>
      <c r="M39" s="48">
        <v>0</v>
      </c>
      <c r="N39" s="34">
        <f t="shared" si="2"/>
        <v>2000</v>
      </c>
      <c r="O39" s="28">
        <v>1</v>
      </c>
      <c r="P39" s="41">
        <v>0.27</v>
      </c>
      <c r="Q39" s="41">
        <v>1.4</v>
      </c>
      <c r="R39" s="31">
        <f t="shared" si="3"/>
        <v>1069.8709248456391</v>
      </c>
      <c r="S39" s="31">
        <f t="shared" si="4"/>
        <v>5.349354624228195</v>
      </c>
      <c r="T39" s="32">
        <f t="shared" si="5"/>
        <v>2262.96</v>
      </c>
      <c r="U39" s="32">
        <f t="shared" si="6"/>
        <v>11.3148</v>
      </c>
      <c r="V39" s="2">
        <f t="shared" si="7"/>
        <v>11314.8</v>
      </c>
      <c r="W39" s="2">
        <f t="shared" si="8"/>
        <v>2640.12</v>
      </c>
      <c r="X39" s="2">
        <f t="shared" si="9"/>
        <v>24515.4</v>
      </c>
      <c r="Y39" s="2">
        <f t="shared" si="10"/>
        <v>2206.386</v>
      </c>
      <c r="Z39" s="2">
        <f t="shared" si="11"/>
        <v>588.3696</v>
      </c>
      <c r="AA39" s="2">
        <f t="shared" si="12"/>
        <v>5434.875599999999</v>
      </c>
      <c r="AB39" s="2">
        <f t="shared" si="13"/>
        <v>27.174377999999997</v>
      </c>
    </row>
    <row r="40" spans="1:28" ht="15">
      <c r="A40" s="30" t="str">
        <f t="shared" si="0"/>
        <v>Disk &amp; Incorporate42'</v>
      </c>
      <c r="B40" s="47" t="s">
        <v>108</v>
      </c>
      <c r="C40" s="47" t="s">
        <v>96</v>
      </c>
      <c r="D40" s="49">
        <v>42</v>
      </c>
      <c r="E40" s="3">
        <v>5</v>
      </c>
      <c r="F40" s="3">
        <v>0.8</v>
      </c>
      <c r="G40" s="84">
        <f t="shared" si="14"/>
        <v>0.049107142857142856</v>
      </c>
      <c r="H40" s="150">
        <v>43268</v>
      </c>
      <c r="I40" s="150">
        <v>30</v>
      </c>
      <c r="J40" s="150">
        <v>60</v>
      </c>
      <c r="K40" s="150">
        <v>10</v>
      </c>
      <c r="L40" s="150">
        <v>200</v>
      </c>
      <c r="M40" s="48">
        <v>0</v>
      </c>
      <c r="N40" s="34">
        <f t="shared" si="2"/>
        <v>2000</v>
      </c>
      <c r="O40" s="28">
        <v>1</v>
      </c>
      <c r="P40" s="41">
        <v>0.27</v>
      </c>
      <c r="Q40" s="41">
        <v>1.4</v>
      </c>
      <c r="R40" s="31">
        <f t="shared" si="3"/>
        <v>1227.361734442176</v>
      </c>
      <c r="S40" s="31">
        <f t="shared" si="4"/>
        <v>6.136808672210879</v>
      </c>
      <c r="T40" s="32">
        <f t="shared" si="5"/>
        <v>2596.08</v>
      </c>
      <c r="U40" s="32">
        <f t="shared" si="6"/>
        <v>12.9804</v>
      </c>
      <c r="V40" s="2">
        <f t="shared" si="7"/>
        <v>12980.4</v>
      </c>
      <c r="W40" s="2">
        <f t="shared" si="8"/>
        <v>3028.7599999999998</v>
      </c>
      <c r="X40" s="2">
        <f t="shared" si="9"/>
        <v>28124.2</v>
      </c>
      <c r="Y40" s="2">
        <f t="shared" si="10"/>
        <v>2531.178</v>
      </c>
      <c r="Z40" s="2">
        <f t="shared" si="11"/>
        <v>674.9808</v>
      </c>
      <c r="AA40" s="2">
        <f t="shared" si="12"/>
        <v>6234.9187999999995</v>
      </c>
      <c r="AB40" s="2">
        <f t="shared" si="13"/>
        <v>31.174594</v>
      </c>
    </row>
    <row r="41" spans="1:28" ht="15">
      <c r="A41" s="30" t="str">
        <f t="shared" si="0"/>
        <v>Disk Bed (Hipper)10R-30</v>
      </c>
      <c r="B41" s="47" t="s">
        <v>111</v>
      </c>
      <c r="C41" s="47" t="s">
        <v>103</v>
      </c>
      <c r="D41" s="49">
        <v>25</v>
      </c>
      <c r="E41" s="3">
        <v>5.5</v>
      </c>
      <c r="F41" s="3">
        <v>0.8</v>
      </c>
      <c r="G41" s="84">
        <f t="shared" si="14"/>
        <v>0.075</v>
      </c>
      <c r="H41" s="150">
        <v>15252</v>
      </c>
      <c r="I41" s="150">
        <v>30</v>
      </c>
      <c r="J41" s="150">
        <v>40</v>
      </c>
      <c r="K41" s="150">
        <v>10</v>
      </c>
      <c r="L41" s="150">
        <v>160</v>
      </c>
      <c r="M41" s="48">
        <v>0</v>
      </c>
      <c r="N41" s="34">
        <f t="shared" si="2"/>
        <v>1600</v>
      </c>
      <c r="O41" s="28">
        <v>1</v>
      </c>
      <c r="P41" s="41">
        <v>0.27</v>
      </c>
      <c r="Q41" s="41">
        <v>1.4</v>
      </c>
      <c r="R41" s="31">
        <f t="shared" si="3"/>
        <v>316.5618217032252</v>
      </c>
      <c r="S41" s="31">
        <f t="shared" si="4"/>
        <v>1.9785113856451573</v>
      </c>
      <c r="T41" s="32">
        <f t="shared" si="5"/>
        <v>610.08</v>
      </c>
      <c r="U41" s="32">
        <f t="shared" si="6"/>
        <v>3.813</v>
      </c>
      <c r="V41" s="2">
        <f t="shared" si="7"/>
        <v>4575.6</v>
      </c>
      <c r="W41" s="2">
        <f t="shared" si="8"/>
        <v>1067.6399999999999</v>
      </c>
      <c r="X41" s="2">
        <f t="shared" si="9"/>
        <v>9913.8</v>
      </c>
      <c r="Y41" s="2">
        <f t="shared" si="10"/>
        <v>892.2419999999998</v>
      </c>
      <c r="Z41" s="2">
        <f t="shared" si="11"/>
        <v>237.9312</v>
      </c>
      <c r="AA41" s="2">
        <f t="shared" si="12"/>
        <v>2197.8131999999996</v>
      </c>
      <c r="AB41" s="2">
        <f t="shared" si="13"/>
        <v>13.736332499999998</v>
      </c>
    </row>
    <row r="42" spans="1:28" ht="15">
      <c r="A42" s="30" t="str">
        <f t="shared" si="0"/>
        <v>Disk Bed (Hipper)10R-36</v>
      </c>
      <c r="B42" s="47" t="s">
        <v>111</v>
      </c>
      <c r="C42" s="47" t="s">
        <v>375</v>
      </c>
      <c r="D42" s="49">
        <v>30</v>
      </c>
      <c r="E42" s="3">
        <v>5.5</v>
      </c>
      <c r="F42" s="3">
        <v>0.8</v>
      </c>
      <c r="G42" s="84">
        <f t="shared" si="14"/>
        <v>0.0625</v>
      </c>
      <c r="H42" s="150">
        <v>16898</v>
      </c>
      <c r="I42" s="150">
        <v>30</v>
      </c>
      <c r="J42" s="150">
        <v>40</v>
      </c>
      <c r="K42" s="150">
        <v>10</v>
      </c>
      <c r="L42" s="150">
        <v>160</v>
      </c>
      <c r="M42" s="48">
        <v>0</v>
      </c>
      <c r="N42" s="34">
        <f t="shared" si="2"/>
        <v>1600</v>
      </c>
      <c r="O42" s="28">
        <v>1</v>
      </c>
      <c r="P42" s="41">
        <v>0.27</v>
      </c>
      <c r="Q42" s="41">
        <v>1.4</v>
      </c>
      <c r="R42" s="31">
        <f t="shared" si="3"/>
        <v>350.72525984402694</v>
      </c>
      <c r="S42" s="31">
        <f t="shared" si="4"/>
        <v>2.1920328740251684</v>
      </c>
      <c r="T42" s="32">
        <f t="shared" si="5"/>
        <v>675.92</v>
      </c>
      <c r="U42" s="32">
        <f t="shared" si="6"/>
        <v>4.2245</v>
      </c>
      <c r="V42" s="2">
        <f t="shared" si="7"/>
        <v>5069.4</v>
      </c>
      <c r="W42" s="2">
        <f t="shared" si="8"/>
        <v>1182.8600000000001</v>
      </c>
      <c r="X42" s="2">
        <f t="shared" si="9"/>
        <v>10983.7</v>
      </c>
      <c r="Y42" s="2">
        <f t="shared" si="10"/>
        <v>988.533</v>
      </c>
      <c r="Z42" s="2">
        <f t="shared" si="11"/>
        <v>263.60880000000003</v>
      </c>
      <c r="AA42" s="2">
        <f t="shared" si="12"/>
        <v>2435.0018</v>
      </c>
      <c r="AB42" s="2">
        <f t="shared" si="13"/>
        <v>15.21876125</v>
      </c>
    </row>
    <row r="43" spans="1:28" ht="15">
      <c r="A43" s="30" t="str">
        <f t="shared" si="0"/>
        <v>Disk Bed (Hipper)12R-30</v>
      </c>
      <c r="B43" s="47" t="s">
        <v>111</v>
      </c>
      <c r="C43" s="47" t="s">
        <v>213</v>
      </c>
      <c r="D43" s="49">
        <v>30</v>
      </c>
      <c r="E43" s="3">
        <v>5.5</v>
      </c>
      <c r="F43" s="3">
        <v>0.8</v>
      </c>
      <c r="G43" s="84">
        <f t="shared" si="14"/>
        <v>0.0625</v>
      </c>
      <c r="H43" s="150">
        <v>17854</v>
      </c>
      <c r="I43" s="150">
        <v>30</v>
      </c>
      <c r="J43" s="150">
        <v>40</v>
      </c>
      <c r="K43" s="150">
        <v>10</v>
      </c>
      <c r="L43" s="150">
        <v>160</v>
      </c>
      <c r="M43" s="48">
        <v>0</v>
      </c>
      <c r="N43" s="34">
        <f t="shared" si="2"/>
        <v>1600</v>
      </c>
      <c r="O43" s="28">
        <v>1</v>
      </c>
      <c r="P43" s="41">
        <v>0.27</v>
      </c>
      <c r="Q43" s="41">
        <v>1.4</v>
      </c>
      <c r="R43" s="31">
        <f t="shared" si="3"/>
        <v>370.5674511335813</v>
      </c>
      <c r="S43" s="31">
        <f t="shared" si="4"/>
        <v>2.3160465695848833</v>
      </c>
      <c r="T43" s="32">
        <f t="shared" si="5"/>
        <v>714.1600000000001</v>
      </c>
      <c r="U43" s="32">
        <f t="shared" si="6"/>
        <v>4.463500000000001</v>
      </c>
      <c r="V43" s="2">
        <f t="shared" si="7"/>
        <v>5356.2</v>
      </c>
      <c r="W43" s="2">
        <f t="shared" si="8"/>
        <v>1249.78</v>
      </c>
      <c r="X43" s="2">
        <f t="shared" si="9"/>
        <v>11605.1</v>
      </c>
      <c r="Y43" s="2">
        <f t="shared" si="10"/>
        <v>1044.459</v>
      </c>
      <c r="Z43" s="2">
        <f t="shared" si="11"/>
        <v>278.5224</v>
      </c>
      <c r="AA43" s="2">
        <f t="shared" si="12"/>
        <v>2572.7614000000003</v>
      </c>
      <c r="AB43" s="2">
        <f t="shared" si="13"/>
        <v>16.079758750000003</v>
      </c>
    </row>
    <row r="44" spans="1:28" ht="15">
      <c r="A44" s="30" t="str">
        <f t="shared" si="0"/>
        <v>Disk Bed (Hipper)12R-36</v>
      </c>
      <c r="B44" s="47" t="s">
        <v>111</v>
      </c>
      <c r="C44" s="47" t="s">
        <v>376</v>
      </c>
      <c r="D44" s="49">
        <v>36</v>
      </c>
      <c r="E44" s="3">
        <v>5.5</v>
      </c>
      <c r="F44" s="3">
        <v>0.8</v>
      </c>
      <c r="G44" s="84">
        <f t="shared" si="14"/>
        <v>0.052083333333333336</v>
      </c>
      <c r="H44" s="150">
        <v>23602</v>
      </c>
      <c r="I44" s="150">
        <v>30</v>
      </c>
      <c r="J44" s="150">
        <v>40</v>
      </c>
      <c r="K44" s="150">
        <v>10</v>
      </c>
      <c r="L44" s="150">
        <v>160</v>
      </c>
      <c r="M44" s="48">
        <v>0</v>
      </c>
      <c r="N44" s="34">
        <f t="shared" si="2"/>
        <v>1600</v>
      </c>
      <c r="O44" s="28">
        <v>1</v>
      </c>
      <c r="P44" s="41">
        <v>0.27</v>
      </c>
      <c r="Q44" s="41">
        <v>1.4</v>
      </c>
      <c r="R44" s="31">
        <f t="shared" si="3"/>
        <v>489.869664033538</v>
      </c>
      <c r="S44" s="31">
        <f t="shared" si="4"/>
        <v>3.0616854002096128</v>
      </c>
      <c r="T44" s="32">
        <f t="shared" si="5"/>
        <v>944.0799999999999</v>
      </c>
      <c r="U44" s="32">
        <f t="shared" si="6"/>
        <v>5.900499999999999</v>
      </c>
      <c r="V44" s="2">
        <f t="shared" si="7"/>
        <v>7080.6</v>
      </c>
      <c r="W44" s="2">
        <f t="shared" si="8"/>
        <v>1652.14</v>
      </c>
      <c r="X44" s="2">
        <f t="shared" si="9"/>
        <v>15341.3</v>
      </c>
      <c r="Y44" s="2">
        <f t="shared" si="10"/>
        <v>1380.7169999999999</v>
      </c>
      <c r="Z44" s="2">
        <f t="shared" si="11"/>
        <v>368.1912</v>
      </c>
      <c r="AA44" s="2">
        <f t="shared" si="12"/>
        <v>3401.0482</v>
      </c>
      <c r="AB44" s="2">
        <f t="shared" si="13"/>
        <v>21.25655125</v>
      </c>
    </row>
    <row r="45" spans="1:28" ht="15">
      <c r="A45" s="30" t="str">
        <f t="shared" si="0"/>
        <v>Disk Bed (Hipper)4R-36</v>
      </c>
      <c r="B45" s="47" t="s">
        <v>111</v>
      </c>
      <c r="C45" s="47" t="s">
        <v>373</v>
      </c>
      <c r="D45" s="49">
        <v>12</v>
      </c>
      <c r="E45" s="3">
        <v>5.5</v>
      </c>
      <c r="F45" s="3">
        <v>0.8</v>
      </c>
      <c r="G45" s="84">
        <f t="shared" si="14"/>
        <v>0.15625</v>
      </c>
      <c r="H45" s="150">
        <v>6958</v>
      </c>
      <c r="I45" s="150">
        <v>30</v>
      </c>
      <c r="J45" s="150">
        <v>40</v>
      </c>
      <c r="K45" s="150">
        <v>10</v>
      </c>
      <c r="L45" s="150">
        <v>160</v>
      </c>
      <c r="M45" s="48">
        <v>0</v>
      </c>
      <c r="N45" s="34">
        <f t="shared" si="2"/>
        <v>1600</v>
      </c>
      <c r="O45" s="28">
        <v>1</v>
      </c>
      <c r="P45" s="41">
        <v>0.27</v>
      </c>
      <c r="Q45" s="41">
        <v>1.4</v>
      </c>
      <c r="R45" s="31">
        <f t="shared" si="3"/>
        <v>144.41628346518758</v>
      </c>
      <c r="S45" s="31">
        <f t="shared" si="4"/>
        <v>0.9026017716574224</v>
      </c>
      <c r="T45" s="32">
        <f t="shared" si="5"/>
        <v>278.32</v>
      </c>
      <c r="U45" s="32">
        <f t="shared" si="6"/>
        <v>1.7395</v>
      </c>
      <c r="V45" s="2">
        <f t="shared" si="7"/>
        <v>2087.4</v>
      </c>
      <c r="W45" s="2">
        <f t="shared" si="8"/>
        <v>487.06000000000006</v>
      </c>
      <c r="X45" s="2">
        <f t="shared" si="9"/>
        <v>4522.7</v>
      </c>
      <c r="Y45" s="2">
        <f t="shared" si="10"/>
        <v>407.04299999999995</v>
      </c>
      <c r="Z45" s="2">
        <f t="shared" si="11"/>
        <v>108.5448</v>
      </c>
      <c r="AA45" s="2">
        <f t="shared" si="12"/>
        <v>1002.6478</v>
      </c>
      <c r="AB45" s="2">
        <f t="shared" si="13"/>
        <v>6.26654875</v>
      </c>
    </row>
    <row r="46" spans="1:28" ht="15">
      <c r="A46" s="30" t="str">
        <f t="shared" si="0"/>
        <v>Disk Bed (Hipper)6R-30</v>
      </c>
      <c r="B46" s="47" t="s">
        <v>111</v>
      </c>
      <c r="C46" s="47" t="s">
        <v>99</v>
      </c>
      <c r="D46" s="49">
        <v>15</v>
      </c>
      <c r="E46" s="3">
        <v>5.5</v>
      </c>
      <c r="F46" s="3">
        <v>0.8</v>
      </c>
      <c r="G46" s="84">
        <f t="shared" si="14"/>
        <v>0.125</v>
      </c>
      <c r="H46" s="150">
        <v>9459</v>
      </c>
      <c r="I46" s="150">
        <v>30</v>
      </c>
      <c r="J46" s="150">
        <v>40</v>
      </c>
      <c r="K46" s="150">
        <v>10</v>
      </c>
      <c r="L46" s="150">
        <v>160</v>
      </c>
      <c r="M46" s="48">
        <v>0</v>
      </c>
      <c r="N46" s="34">
        <f t="shared" si="2"/>
        <v>1600</v>
      </c>
      <c r="O46" s="28">
        <v>1</v>
      </c>
      <c r="P46" s="41">
        <v>0.27</v>
      </c>
      <c r="Q46" s="41">
        <v>1.4</v>
      </c>
      <c r="R46" s="31">
        <f t="shared" si="3"/>
        <v>196.32561444340462</v>
      </c>
      <c r="S46" s="31">
        <f t="shared" si="4"/>
        <v>1.2270350902712788</v>
      </c>
      <c r="T46" s="32">
        <f t="shared" si="5"/>
        <v>378.36</v>
      </c>
      <c r="U46" s="32">
        <f t="shared" si="6"/>
        <v>2.36475</v>
      </c>
      <c r="V46" s="2">
        <f t="shared" si="7"/>
        <v>2837.7</v>
      </c>
      <c r="W46" s="2">
        <f t="shared" si="8"/>
        <v>662.13</v>
      </c>
      <c r="X46" s="2">
        <f t="shared" si="9"/>
        <v>6148.35</v>
      </c>
      <c r="Y46" s="2">
        <f t="shared" si="10"/>
        <v>553.3515</v>
      </c>
      <c r="Z46" s="2">
        <f t="shared" si="11"/>
        <v>147.56040000000002</v>
      </c>
      <c r="AA46" s="2">
        <f t="shared" si="12"/>
        <v>1363.0419000000002</v>
      </c>
      <c r="AB46" s="2">
        <f t="shared" si="13"/>
        <v>8.519011875</v>
      </c>
    </row>
    <row r="47" spans="1:28" ht="15">
      <c r="A47" s="30" t="str">
        <f t="shared" si="0"/>
        <v>Disk Bed (Hipper)6R-36</v>
      </c>
      <c r="B47" s="47" t="s">
        <v>111</v>
      </c>
      <c r="C47" s="47" t="s">
        <v>374</v>
      </c>
      <c r="D47" s="49">
        <v>18</v>
      </c>
      <c r="E47" s="3">
        <v>5.5</v>
      </c>
      <c r="F47" s="3">
        <v>0.8</v>
      </c>
      <c r="G47" s="84">
        <f t="shared" si="14"/>
        <v>0.10416666666666667</v>
      </c>
      <c r="H47" s="150">
        <v>10455</v>
      </c>
      <c r="I47" s="150">
        <v>30</v>
      </c>
      <c r="J47" s="150">
        <v>40</v>
      </c>
      <c r="K47" s="150">
        <v>10</v>
      </c>
      <c r="L47" s="150">
        <v>160</v>
      </c>
      <c r="M47" s="48">
        <v>0</v>
      </c>
      <c r="N47" s="34">
        <f t="shared" si="2"/>
        <v>1600</v>
      </c>
      <c r="O47" s="28">
        <v>1</v>
      </c>
      <c r="P47" s="41">
        <v>0.27</v>
      </c>
      <c r="Q47" s="41">
        <v>1.4</v>
      </c>
      <c r="R47" s="31">
        <f t="shared" si="3"/>
        <v>216.99802294172696</v>
      </c>
      <c r="S47" s="31">
        <f t="shared" si="4"/>
        <v>1.3562376433857934</v>
      </c>
      <c r="T47" s="32">
        <f t="shared" si="5"/>
        <v>418.2</v>
      </c>
      <c r="U47" s="32">
        <f t="shared" si="6"/>
        <v>2.61375</v>
      </c>
      <c r="V47" s="2">
        <f t="shared" si="7"/>
        <v>3136.5</v>
      </c>
      <c r="W47" s="2">
        <f t="shared" si="8"/>
        <v>731.85</v>
      </c>
      <c r="X47" s="2">
        <f t="shared" si="9"/>
        <v>6795.75</v>
      </c>
      <c r="Y47" s="2">
        <f t="shared" si="10"/>
        <v>611.6175</v>
      </c>
      <c r="Z47" s="2">
        <f t="shared" si="11"/>
        <v>163.098</v>
      </c>
      <c r="AA47" s="2">
        <f t="shared" si="12"/>
        <v>1506.5655000000002</v>
      </c>
      <c r="AB47" s="2">
        <f t="shared" si="13"/>
        <v>9.416034375</v>
      </c>
    </row>
    <row r="48" spans="1:28" ht="15">
      <c r="A48" s="30" t="str">
        <f t="shared" si="0"/>
        <v>Disk Bed (Hipper)8R-30</v>
      </c>
      <c r="B48" s="47" t="s">
        <v>111</v>
      </c>
      <c r="C48" s="47" t="s">
        <v>101</v>
      </c>
      <c r="D48" s="49">
        <v>20</v>
      </c>
      <c r="E48" s="3">
        <v>5.5</v>
      </c>
      <c r="F48" s="3">
        <v>0.8</v>
      </c>
      <c r="G48" s="84">
        <f t="shared" si="14"/>
        <v>0.09375</v>
      </c>
      <c r="H48" s="150">
        <v>12195</v>
      </c>
      <c r="I48" s="150">
        <v>30</v>
      </c>
      <c r="J48" s="150">
        <v>40</v>
      </c>
      <c r="K48" s="150">
        <v>10</v>
      </c>
      <c r="L48" s="150">
        <v>160</v>
      </c>
      <c r="M48" s="48">
        <v>0</v>
      </c>
      <c r="N48" s="34">
        <f t="shared" si="2"/>
        <v>1600</v>
      </c>
      <c r="O48" s="28">
        <v>1</v>
      </c>
      <c r="P48" s="41">
        <v>0.27</v>
      </c>
      <c r="Q48" s="41">
        <v>1.4</v>
      </c>
      <c r="R48" s="31">
        <f t="shared" si="3"/>
        <v>253.11247152313345</v>
      </c>
      <c r="S48" s="31">
        <f t="shared" si="4"/>
        <v>1.581952947019584</v>
      </c>
      <c r="T48" s="32">
        <f t="shared" si="5"/>
        <v>487.8</v>
      </c>
      <c r="U48" s="32">
        <f t="shared" si="6"/>
        <v>3.04875</v>
      </c>
      <c r="V48" s="2">
        <f t="shared" si="7"/>
        <v>3658.5</v>
      </c>
      <c r="W48" s="2">
        <f t="shared" si="8"/>
        <v>853.65</v>
      </c>
      <c r="X48" s="2">
        <f t="shared" si="9"/>
        <v>7926.75</v>
      </c>
      <c r="Y48" s="2">
        <f t="shared" si="10"/>
        <v>713.4075</v>
      </c>
      <c r="Z48" s="2">
        <f t="shared" si="11"/>
        <v>190.242</v>
      </c>
      <c r="AA48" s="2">
        <f t="shared" si="12"/>
        <v>1757.2995</v>
      </c>
      <c r="AB48" s="2">
        <f t="shared" si="13"/>
        <v>10.983121875</v>
      </c>
    </row>
    <row r="49" spans="1:28" ht="15">
      <c r="A49" s="30" t="str">
        <f t="shared" si="0"/>
        <v>Disk Bed (Hipper)8R-40 2x1</v>
      </c>
      <c r="B49" s="47" t="s">
        <v>111</v>
      </c>
      <c r="C49" s="47" t="s">
        <v>113</v>
      </c>
      <c r="D49" s="49">
        <v>40</v>
      </c>
      <c r="E49" s="3">
        <v>5.5</v>
      </c>
      <c r="F49" s="3">
        <v>0.8</v>
      </c>
      <c r="G49" s="84">
        <f t="shared" si="14"/>
        <v>0.046875</v>
      </c>
      <c r="H49" s="150">
        <v>23602</v>
      </c>
      <c r="I49" s="150">
        <v>30</v>
      </c>
      <c r="J49" s="150">
        <v>40</v>
      </c>
      <c r="K49" s="150">
        <v>10</v>
      </c>
      <c r="L49" s="150">
        <v>160</v>
      </c>
      <c r="M49" s="48">
        <v>0</v>
      </c>
      <c r="N49" s="34">
        <f t="shared" si="2"/>
        <v>1600</v>
      </c>
      <c r="O49" s="28">
        <v>1</v>
      </c>
      <c r="P49" s="41">
        <v>0.27</v>
      </c>
      <c r="Q49" s="41">
        <v>1.4</v>
      </c>
      <c r="R49" s="31">
        <f t="shared" si="3"/>
        <v>489.869664033538</v>
      </c>
      <c r="S49" s="31">
        <f t="shared" si="4"/>
        <v>3.0616854002096128</v>
      </c>
      <c r="T49" s="32">
        <f t="shared" si="5"/>
        <v>944.0799999999999</v>
      </c>
      <c r="U49" s="32">
        <f t="shared" si="6"/>
        <v>5.900499999999999</v>
      </c>
      <c r="V49" s="2">
        <f t="shared" si="7"/>
        <v>7080.6</v>
      </c>
      <c r="W49" s="2">
        <f t="shared" si="8"/>
        <v>1652.14</v>
      </c>
      <c r="X49" s="2">
        <f t="shared" si="9"/>
        <v>15341.3</v>
      </c>
      <c r="Y49" s="2">
        <f t="shared" si="10"/>
        <v>1380.7169999999999</v>
      </c>
      <c r="Z49" s="2">
        <f t="shared" si="11"/>
        <v>368.1912</v>
      </c>
      <c r="AA49" s="2">
        <f t="shared" si="12"/>
        <v>3401.0482</v>
      </c>
      <c r="AB49" s="2">
        <f t="shared" si="13"/>
        <v>21.25655125</v>
      </c>
    </row>
    <row r="50" spans="1:28" ht="15">
      <c r="A50" s="30" t="str">
        <f t="shared" si="0"/>
        <v>Disk Bed (Hipper)Fld8R-36</v>
      </c>
      <c r="B50" s="47" t="s">
        <v>231</v>
      </c>
      <c r="C50" s="47" t="s">
        <v>377</v>
      </c>
      <c r="D50" s="49">
        <v>24</v>
      </c>
      <c r="E50" s="3">
        <v>5.5</v>
      </c>
      <c r="F50" s="3">
        <v>0.8</v>
      </c>
      <c r="G50" s="84">
        <f t="shared" si="14"/>
        <v>0.078125</v>
      </c>
      <c r="H50" s="150">
        <v>15522</v>
      </c>
      <c r="I50" s="150">
        <v>30</v>
      </c>
      <c r="J50" s="150">
        <v>40</v>
      </c>
      <c r="K50" s="150">
        <v>10</v>
      </c>
      <c r="L50" s="150">
        <v>160</v>
      </c>
      <c r="M50" s="48">
        <v>0</v>
      </c>
      <c r="N50" s="34">
        <f t="shared" si="2"/>
        <v>1600</v>
      </c>
      <c r="O50" s="28">
        <v>1</v>
      </c>
      <c r="P50" s="41">
        <v>0.27</v>
      </c>
      <c r="Q50" s="41">
        <v>1.4</v>
      </c>
      <c r="R50" s="31">
        <f t="shared" si="3"/>
        <v>322.165787862409</v>
      </c>
      <c r="S50" s="31">
        <f t="shared" si="4"/>
        <v>2.0135361741400564</v>
      </c>
      <c r="T50" s="32">
        <f t="shared" si="5"/>
        <v>620.88</v>
      </c>
      <c r="U50" s="32">
        <f t="shared" si="6"/>
        <v>3.8805</v>
      </c>
      <c r="V50" s="2">
        <f t="shared" si="7"/>
        <v>4656.6</v>
      </c>
      <c r="W50" s="2">
        <f t="shared" si="8"/>
        <v>1086.54</v>
      </c>
      <c r="X50" s="2">
        <f t="shared" si="9"/>
        <v>10089.3</v>
      </c>
      <c r="Y50" s="2">
        <f t="shared" si="10"/>
        <v>908.0369999999999</v>
      </c>
      <c r="Z50" s="2">
        <f t="shared" si="11"/>
        <v>242.14319999999998</v>
      </c>
      <c r="AA50" s="2">
        <f t="shared" si="12"/>
        <v>2236.7201999999997</v>
      </c>
      <c r="AB50" s="2">
        <f t="shared" si="13"/>
        <v>13.979501249999998</v>
      </c>
    </row>
    <row r="51" spans="1:28" ht="15">
      <c r="A51" s="30" t="str">
        <f t="shared" si="0"/>
        <v>Disk Bed (Hipper)Rdg8R-36</v>
      </c>
      <c r="B51" s="47" t="s">
        <v>178</v>
      </c>
      <c r="C51" s="47" t="s">
        <v>377</v>
      </c>
      <c r="D51" s="49">
        <v>24</v>
      </c>
      <c r="E51" s="3">
        <v>5.5</v>
      </c>
      <c r="F51" s="3">
        <v>0.8</v>
      </c>
      <c r="G51" s="84">
        <f t="shared" si="14"/>
        <v>0.078125</v>
      </c>
      <c r="H51" s="150">
        <v>13449</v>
      </c>
      <c r="I51" s="150">
        <v>30</v>
      </c>
      <c r="J51" s="150">
        <v>40</v>
      </c>
      <c r="K51" s="150">
        <v>10</v>
      </c>
      <c r="L51" s="150">
        <v>160</v>
      </c>
      <c r="M51" s="48">
        <v>0</v>
      </c>
      <c r="N51" s="34">
        <f t="shared" si="2"/>
        <v>1600</v>
      </c>
      <c r="O51" s="28">
        <v>1</v>
      </c>
      <c r="P51" s="41">
        <v>0.27</v>
      </c>
      <c r="Q51" s="41">
        <v>1.4</v>
      </c>
      <c r="R51" s="31">
        <f t="shared" si="3"/>
        <v>279.13978101800916</v>
      </c>
      <c r="S51" s="31">
        <f t="shared" si="4"/>
        <v>1.7446236313625572</v>
      </c>
      <c r="T51" s="32">
        <f t="shared" si="5"/>
        <v>537.96</v>
      </c>
      <c r="U51" s="32">
        <f t="shared" si="6"/>
        <v>3.3622500000000004</v>
      </c>
      <c r="V51" s="2">
        <f t="shared" si="7"/>
        <v>4034.7</v>
      </c>
      <c r="W51" s="2">
        <f t="shared" si="8"/>
        <v>941.43</v>
      </c>
      <c r="X51" s="2">
        <f t="shared" si="9"/>
        <v>8741.85</v>
      </c>
      <c r="Y51" s="2">
        <f t="shared" si="10"/>
        <v>786.7665</v>
      </c>
      <c r="Z51" s="2">
        <f t="shared" si="11"/>
        <v>209.80440000000002</v>
      </c>
      <c r="AA51" s="2">
        <f t="shared" si="12"/>
        <v>1938.0009</v>
      </c>
      <c r="AB51" s="2">
        <f t="shared" si="13"/>
        <v>12.112505625</v>
      </c>
    </row>
    <row r="52" spans="1:28" ht="15">
      <c r="A52" s="30" t="str">
        <f t="shared" si="0"/>
        <v>Disk Bed w/roller12R-30</v>
      </c>
      <c r="B52" s="47" t="s">
        <v>216</v>
      </c>
      <c r="C52" s="47" t="s">
        <v>213</v>
      </c>
      <c r="D52" s="49">
        <v>30</v>
      </c>
      <c r="E52" s="3">
        <v>5.5</v>
      </c>
      <c r="F52" s="3">
        <v>0.8</v>
      </c>
      <c r="G52" s="84">
        <f t="shared" si="14"/>
        <v>0.0625</v>
      </c>
      <c r="H52" s="150">
        <v>24672</v>
      </c>
      <c r="I52" s="150">
        <v>30</v>
      </c>
      <c r="J52" s="150">
        <v>40</v>
      </c>
      <c r="K52" s="150">
        <v>10</v>
      </c>
      <c r="L52" s="150">
        <v>160</v>
      </c>
      <c r="M52" s="48">
        <v>0</v>
      </c>
      <c r="N52" s="34">
        <f t="shared" si="2"/>
        <v>1600</v>
      </c>
      <c r="O52" s="28">
        <v>1</v>
      </c>
      <c r="P52" s="41">
        <v>0.27</v>
      </c>
      <c r="Q52" s="41">
        <v>1.4</v>
      </c>
      <c r="R52" s="31">
        <f t="shared" si="3"/>
        <v>512.0779743680811</v>
      </c>
      <c r="S52" s="31">
        <f t="shared" si="4"/>
        <v>3.2004873398005067</v>
      </c>
      <c r="T52" s="32">
        <f t="shared" si="5"/>
        <v>986.8799999999999</v>
      </c>
      <c r="U52" s="32">
        <f t="shared" si="6"/>
        <v>6.167999999999999</v>
      </c>
      <c r="V52" s="2">
        <f t="shared" si="7"/>
        <v>7401.6</v>
      </c>
      <c r="W52" s="2">
        <f t="shared" si="8"/>
        <v>1727.0400000000002</v>
      </c>
      <c r="X52" s="2">
        <f t="shared" si="9"/>
        <v>16036.8</v>
      </c>
      <c r="Y52" s="2">
        <f t="shared" si="10"/>
        <v>1443.312</v>
      </c>
      <c r="Z52" s="2">
        <f t="shared" si="11"/>
        <v>384.8832</v>
      </c>
      <c r="AA52" s="2">
        <f t="shared" si="12"/>
        <v>3555.2352</v>
      </c>
      <c r="AB52" s="2">
        <f t="shared" si="13"/>
        <v>22.22022</v>
      </c>
    </row>
    <row r="53" spans="1:28" ht="15">
      <c r="A53" s="30" t="str">
        <f t="shared" si="0"/>
        <v>Disk Bed w/roller8R-30</v>
      </c>
      <c r="B53" s="47" t="s">
        <v>216</v>
      </c>
      <c r="C53" s="47" t="s">
        <v>101</v>
      </c>
      <c r="D53" s="49">
        <v>20</v>
      </c>
      <c r="E53" s="3">
        <v>5.5</v>
      </c>
      <c r="F53" s="3">
        <v>0.8</v>
      </c>
      <c r="G53" s="84">
        <f t="shared" si="14"/>
        <v>0.09375</v>
      </c>
      <c r="H53" s="150">
        <v>14262</v>
      </c>
      <c r="I53" s="150">
        <v>30</v>
      </c>
      <c r="J53" s="150">
        <v>40</v>
      </c>
      <c r="K53" s="150">
        <v>10</v>
      </c>
      <c r="L53" s="150">
        <v>160</v>
      </c>
      <c r="M53" s="48">
        <v>0</v>
      </c>
      <c r="N53" s="34">
        <f t="shared" si="2"/>
        <v>1600</v>
      </c>
      <c r="O53" s="28">
        <v>1</v>
      </c>
      <c r="P53" s="41">
        <v>0.27</v>
      </c>
      <c r="Q53" s="41">
        <v>1.4</v>
      </c>
      <c r="R53" s="31">
        <f t="shared" si="3"/>
        <v>296.0139457862181</v>
      </c>
      <c r="S53" s="31">
        <f t="shared" si="4"/>
        <v>1.850087161163863</v>
      </c>
      <c r="T53" s="32">
        <f t="shared" si="5"/>
        <v>570.48</v>
      </c>
      <c r="U53" s="32">
        <f t="shared" si="6"/>
        <v>3.5655</v>
      </c>
      <c r="V53" s="2">
        <f t="shared" si="7"/>
        <v>4278.6</v>
      </c>
      <c r="W53" s="2">
        <f t="shared" si="8"/>
        <v>998.3399999999999</v>
      </c>
      <c r="X53" s="2">
        <f t="shared" si="9"/>
        <v>9270.3</v>
      </c>
      <c r="Y53" s="2">
        <f t="shared" si="10"/>
        <v>834.3269999999999</v>
      </c>
      <c r="Z53" s="2">
        <f t="shared" si="11"/>
        <v>222.48719999999997</v>
      </c>
      <c r="AA53" s="2">
        <f t="shared" si="12"/>
        <v>2055.1542</v>
      </c>
      <c r="AB53" s="2">
        <f t="shared" si="13"/>
        <v>12.84471375</v>
      </c>
    </row>
    <row r="54" spans="1:28" ht="15">
      <c r="A54" s="30" t="str">
        <f t="shared" si="0"/>
        <v>Disk Harrow14'</v>
      </c>
      <c r="B54" s="47" t="s">
        <v>179</v>
      </c>
      <c r="C54" s="47" t="s">
        <v>109</v>
      </c>
      <c r="D54" s="49">
        <v>14</v>
      </c>
      <c r="E54" s="3">
        <v>5.25</v>
      </c>
      <c r="F54" s="3">
        <v>0.8</v>
      </c>
      <c r="G54" s="84">
        <f t="shared" si="14"/>
        <v>0.1403061224489796</v>
      </c>
      <c r="H54" s="150">
        <v>10915</v>
      </c>
      <c r="I54" s="150">
        <v>30</v>
      </c>
      <c r="J54" s="150">
        <v>50</v>
      </c>
      <c r="K54" s="150">
        <v>10</v>
      </c>
      <c r="L54" s="150">
        <v>180</v>
      </c>
      <c r="M54" s="48">
        <v>0</v>
      </c>
      <c r="N54" s="34">
        <f t="shared" si="2"/>
        <v>1800</v>
      </c>
      <c r="O54" s="28">
        <v>1</v>
      </c>
      <c r="P54" s="41">
        <v>0.27</v>
      </c>
      <c r="Q54" s="41">
        <v>1.4</v>
      </c>
      <c r="R54" s="31">
        <f t="shared" si="3"/>
        <v>267.15850920170766</v>
      </c>
      <c r="S54" s="31">
        <f t="shared" si="4"/>
        <v>1.484213940009487</v>
      </c>
      <c r="T54" s="32">
        <f t="shared" si="5"/>
        <v>545.75</v>
      </c>
      <c r="U54" s="32">
        <f t="shared" si="6"/>
        <v>3.0319444444444446</v>
      </c>
      <c r="V54" s="2">
        <f t="shared" si="7"/>
        <v>3274.5</v>
      </c>
      <c r="W54" s="2">
        <f t="shared" si="8"/>
        <v>764.05</v>
      </c>
      <c r="X54" s="2">
        <f t="shared" si="9"/>
        <v>7094.75</v>
      </c>
      <c r="Y54" s="2">
        <f t="shared" si="10"/>
        <v>638.5275</v>
      </c>
      <c r="Z54" s="2">
        <f t="shared" si="11"/>
        <v>170.274</v>
      </c>
      <c r="AA54" s="2">
        <f t="shared" si="12"/>
        <v>1572.8515</v>
      </c>
      <c r="AB54" s="2">
        <f t="shared" si="13"/>
        <v>8.738063888888888</v>
      </c>
    </row>
    <row r="55" spans="1:28" ht="15">
      <c r="A55" s="30" t="str">
        <f t="shared" si="0"/>
        <v>Disk Harrow24'</v>
      </c>
      <c r="B55" s="47" t="s">
        <v>179</v>
      </c>
      <c r="C55" s="47" t="s">
        <v>94</v>
      </c>
      <c r="D55" s="49">
        <v>24</v>
      </c>
      <c r="E55" s="3">
        <v>5.25</v>
      </c>
      <c r="F55" s="3">
        <v>0.8</v>
      </c>
      <c r="G55" s="84">
        <f t="shared" si="14"/>
        <v>0.0818452380952381</v>
      </c>
      <c r="H55" s="150">
        <v>25699</v>
      </c>
      <c r="I55" s="150">
        <v>30</v>
      </c>
      <c r="J55" s="150">
        <v>50</v>
      </c>
      <c r="K55" s="150">
        <v>10</v>
      </c>
      <c r="L55" s="150">
        <v>180</v>
      </c>
      <c r="M55" s="48">
        <v>0</v>
      </c>
      <c r="N55" s="34">
        <f t="shared" si="2"/>
        <v>1800</v>
      </c>
      <c r="O55" s="28">
        <v>1</v>
      </c>
      <c r="P55" s="41">
        <v>0.27</v>
      </c>
      <c r="Q55" s="41">
        <v>1.4</v>
      </c>
      <c r="R55" s="31">
        <f t="shared" si="3"/>
        <v>629.0157148854499</v>
      </c>
      <c r="S55" s="31">
        <f t="shared" si="4"/>
        <v>3.4945317493636106</v>
      </c>
      <c r="T55" s="32">
        <f t="shared" si="5"/>
        <v>1284.95</v>
      </c>
      <c r="U55" s="32">
        <f t="shared" si="6"/>
        <v>7.1386111111111115</v>
      </c>
      <c r="V55" s="2">
        <f t="shared" si="7"/>
        <v>7709.7</v>
      </c>
      <c r="W55" s="2">
        <f t="shared" si="8"/>
        <v>1798.9299999999998</v>
      </c>
      <c r="X55" s="2">
        <f t="shared" si="9"/>
        <v>16704.35</v>
      </c>
      <c r="Y55" s="2">
        <f t="shared" si="10"/>
        <v>1503.3914999999997</v>
      </c>
      <c r="Z55" s="2">
        <f t="shared" si="11"/>
        <v>400.90439999999995</v>
      </c>
      <c r="AA55" s="2">
        <f t="shared" si="12"/>
        <v>3703.2258999999995</v>
      </c>
      <c r="AB55" s="2">
        <f t="shared" si="13"/>
        <v>20.57347722222222</v>
      </c>
    </row>
    <row r="56" spans="1:28" ht="15">
      <c r="A56" s="30" t="str">
        <f t="shared" si="0"/>
        <v>Disk Harrow28'</v>
      </c>
      <c r="B56" s="47" t="s">
        <v>179</v>
      </c>
      <c r="C56" s="47" t="s">
        <v>205</v>
      </c>
      <c r="D56" s="49">
        <v>28</v>
      </c>
      <c r="E56" s="3">
        <v>5.25</v>
      </c>
      <c r="F56" s="3">
        <v>0.8</v>
      </c>
      <c r="G56" s="84">
        <f t="shared" si="14"/>
        <v>0.0701530612244898</v>
      </c>
      <c r="H56" s="150">
        <v>29386</v>
      </c>
      <c r="I56" s="150">
        <v>30</v>
      </c>
      <c r="J56" s="150">
        <v>50</v>
      </c>
      <c r="K56" s="150">
        <v>10</v>
      </c>
      <c r="L56" s="150">
        <v>180</v>
      </c>
      <c r="M56" s="48">
        <v>0</v>
      </c>
      <c r="N56" s="34">
        <f t="shared" si="2"/>
        <v>1800</v>
      </c>
      <c r="O56" s="28">
        <v>1</v>
      </c>
      <c r="P56" s="41">
        <v>0.27</v>
      </c>
      <c r="Q56" s="41">
        <v>1.4</v>
      </c>
      <c r="R56" s="31">
        <f t="shared" si="3"/>
        <v>719.2597298581202</v>
      </c>
      <c r="S56" s="31">
        <f t="shared" si="4"/>
        <v>3.995887388100668</v>
      </c>
      <c r="T56" s="32">
        <f t="shared" si="5"/>
        <v>1469.3</v>
      </c>
      <c r="U56" s="32">
        <f t="shared" si="6"/>
        <v>8.162777777777778</v>
      </c>
      <c r="V56" s="2">
        <f t="shared" si="7"/>
        <v>8815.8</v>
      </c>
      <c r="W56" s="2">
        <f t="shared" si="8"/>
        <v>2057.02</v>
      </c>
      <c r="X56" s="2">
        <f t="shared" si="9"/>
        <v>19100.9</v>
      </c>
      <c r="Y56" s="2">
        <f t="shared" si="10"/>
        <v>1719.0810000000001</v>
      </c>
      <c r="Z56" s="2">
        <f t="shared" si="11"/>
        <v>458.42160000000007</v>
      </c>
      <c r="AA56" s="2">
        <f t="shared" si="12"/>
        <v>4234.5226</v>
      </c>
      <c r="AB56" s="2">
        <f t="shared" si="13"/>
        <v>23.525125555555558</v>
      </c>
    </row>
    <row r="57" spans="1:28" ht="15">
      <c r="A57" s="30" t="str">
        <f t="shared" si="0"/>
        <v>Disk Harrow32'</v>
      </c>
      <c r="B57" s="47" t="s">
        <v>179</v>
      </c>
      <c r="C57" s="47" t="s">
        <v>95</v>
      </c>
      <c r="D57" s="49">
        <v>32</v>
      </c>
      <c r="E57" s="3">
        <v>5.25</v>
      </c>
      <c r="F57" s="3">
        <v>0.8</v>
      </c>
      <c r="G57" s="84">
        <f t="shared" si="14"/>
        <v>0.061383928571428575</v>
      </c>
      <c r="H57" s="150">
        <v>32347</v>
      </c>
      <c r="I57" s="150">
        <v>30</v>
      </c>
      <c r="J57" s="150">
        <v>50</v>
      </c>
      <c r="K57" s="150">
        <v>10</v>
      </c>
      <c r="L57" s="150">
        <v>180</v>
      </c>
      <c r="M57" s="48">
        <v>0</v>
      </c>
      <c r="N57" s="34">
        <f t="shared" si="2"/>
        <v>1800</v>
      </c>
      <c r="O57" s="28">
        <v>1</v>
      </c>
      <c r="P57" s="41">
        <v>0.27</v>
      </c>
      <c r="Q57" s="41">
        <v>1.4</v>
      </c>
      <c r="R57" s="31">
        <f t="shared" si="3"/>
        <v>791.7339713373924</v>
      </c>
      <c r="S57" s="31">
        <f t="shared" si="4"/>
        <v>4.3985220629855135</v>
      </c>
      <c r="T57" s="32">
        <f t="shared" si="5"/>
        <v>1617.35</v>
      </c>
      <c r="U57" s="32">
        <f t="shared" si="6"/>
        <v>8.985277777777778</v>
      </c>
      <c r="V57" s="2">
        <f t="shared" si="7"/>
        <v>9704.1</v>
      </c>
      <c r="W57" s="2">
        <f t="shared" si="8"/>
        <v>2264.29</v>
      </c>
      <c r="X57" s="2">
        <f t="shared" si="9"/>
        <v>21025.55</v>
      </c>
      <c r="Y57" s="2">
        <f t="shared" si="10"/>
        <v>1892.2994999999999</v>
      </c>
      <c r="Z57" s="2">
        <f t="shared" si="11"/>
        <v>504.6132</v>
      </c>
      <c r="AA57" s="2">
        <f t="shared" si="12"/>
        <v>4661.2027</v>
      </c>
      <c r="AB57" s="2">
        <f t="shared" si="13"/>
        <v>25.895570555555555</v>
      </c>
    </row>
    <row r="58" spans="1:28" ht="15">
      <c r="A58" s="30" t="str">
        <f t="shared" si="0"/>
        <v>Disk Harrow42'</v>
      </c>
      <c r="B58" s="47" t="s">
        <v>179</v>
      </c>
      <c r="C58" s="47" t="s">
        <v>96</v>
      </c>
      <c r="D58" s="49">
        <v>42</v>
      </c>
      <c r="E58" s="3">
        <v>5.25</v>
      </c>
      <c r="F58" s="3">
        <v>0.8</v>
      </c>
      <c r="G58" s="84">
        <f t="shared" si="14"/>
        <v>0.046768707482993194</v>
      </c>
      <c r="H58" s="150">
        <v>46301</v>
      </c>
      <c r="I58" s="150">
        <v>30</v>
      </c>
      <c r="J58" s="150">
        <v>50</v>
      </c>
      <c r="K58" s="150">
        <v>10</v>
      </c>
      <c r="L58" s="150">
        <v>180</v>
      </c>
      <c r="M58" s="48">
        <v>0</v>
      </c>
      <c r="N58" s="34">
        <f t="shared" si="2"/>
        <v>1800</v>
      </c>
      <c r="O58" s="28">
        <v>1</v>
      </c>
      <c r="P58" s="41">
        <v>0.27</v>
      </c>
      <c r="Q58" s="41">
        <v>1.4</v>
      </c>
      <c r="R58" s="31">
        <f t="shared" si="3"/>
        <v>1133.2758712366713</v>
      </c>
      <c r="S58" s="31">
        <f t="shared" si="4"/>
        <v>6.295977062425951</v>
      </c>
      <c r="T58" s="32">
        <f t="shared" si="5"/>
        <v>2315.05</v>
      </c>
      <c r="U58" s="32">
        <f t="shared" si="6"/>
        <v>12.86138888888889</v>
      </c>
      <c r="V58" s="2">
        <f t="shared" si="7"/>
        <v>13890.3</v>
      </c>
      <c r="W58" s="2">
        <f t="shared" si="8"/>
        <v>3241.07</v>
      </c>
      <c r="X58" s="2">
        <f t="shared" si="9"/>
        <v>30095.65</v>
      </c>
      <c r="Y58" s="2">
        <f t="shared" si="10"/>
        <v>2708.6085</v>
      </c>
      <c r="Z58" s="2">
        <f t="shared" si="11"/>
        <v>722.2956</v>
      </c>
      <c r="AA58" s="2">
        <f t="shared" si="12"/>
        <v>6671.974099999999</v>
      </c>
      <c r="AB58" s="2">
        <f t="shared" si="13"/>
        <v>37.06652277777778</v>
      </c>
    </row>
    <row r="59" spans="1:28" ht="15">
      <c r="A59" s="30" t="str">
        <f t="shared" si="0"/>
        <v>Fert Appl (Liquid)10R-30</v>
      </c>
      <c r="B59" s="47" t="s">
        <v>115</v>
      </c>
      <c r="C59" s="47" t="s">
        <v>103</v>
      </c>
      <c r="D59" s="49">
        <v>25</v>
      </c>
      <c r="E59" s="3">
        <v>6</v>
      </c>
      <c r="F59" s="3">
        <v>0.7</v>
      </c>
      <c r="G59" s="84">
        <f t="shared" si="14"/>
        <v>0.07857142857142857</v>
      </c>
      <c r="H59" s="150">
        <v>14057</v>
      </c>
      <c r="I59" s="150">
        <v>40</v>
      </c>
      <c r="J59" s="150">
        <v>80</v>
      </c>
      <c r="K59" s="150">
        <v>8</v>
      </c>
      <c r="L59" s="150">
        <v>150</v>
      </c>
      <c r="M59" s="48">
        <v>0</v>
      </c>
      <c r="N59" s="34">
        <f t="shared" si="2"/>
        <v>1200</v>
      </c>
      <c r="O59" s="28">
        <v>1</v>
      </c>
      <c r="P59" s="41">
        <v>0.27</v>
      </c>
      <c r="Q59" s="41">
        <v>1.4</v>
      </c>
      <c r="R59" s="31">
        <f t="shared" si="3"/>
        <v>266.5533663449126</v>
      </c>
      <c r="S59" s="31">
        <f t="shared" si="4"/>
        <v>1.7770224422994174</v>
      </c>
      <c r="T59" s="32">
        <f t="shared" si="5"/>
        <v>1405.7</v>
      </c>
      <c r="U59" s="32">
        <f t="shared" si="6"/>
        <v>9.371333333333334</v>
      </c>
      <c r="V59" s="2">
        <f t="shared" si="7"/>
        <v>5622.8</v>
      </c>
      <c r="W59" s="2">
        <f t="shared" si="8"/>
        <v>1054.275</v>
      </c>
      <c r="X59" s="2">
        <f t="shared" si="9"/>
        <v>9839.9</v>
      </c>
      <c r="Y59" s="2">
        <f t="shared" si="10"/>
        <v>885.5909999999999</v>
      </c>
      <c r="Z59" s="2">
        <f t="shared" si="11"/>
        <v>236.1576</v>
      </c>
      <c r="AA59" s="2">
        <f t="shared" si="12"/>
        <v>2176.0236</v>
      </c>
      <c r="AB59" s="2">
        <f t="shared" si="13"/>
        <v>14.506824</v>
      </c>
    </row>
    <row r="60" spans="1:28" ht="15">
      <c r="A60" s="30" t="str">
        <f t="shared" si="0"/>
        <v>Fert Appl (Liquid)10R-36</v>
      </c>
      <c r="B60" s="47" t="s">
        <v>115</v>
      </c>
      <c r="C60" s="47" t="s">
        <v>375</v>
      </c>
      <c r="D60" s="49">
        <v>30</v>
      </c>
      <c r="E60" s="3">
        <v>6</v>
      </c>
      <c r="F60" s="3">
        <v>0.7</v>
      </c>
      <c r="G60" s="84">
        <f t="shared" si="14"/>
        <v>0.06547619047619048</v>
      </c>
      <c r="H60" s="150">
        <v>15426</v>
      </c>
      <c r="I60" s="150">
        <v>40</v>
      </c>
      <c r="J60" s="150">
        <v>80</v>
      </c>
      <c r="K60" s="150">
        <v>8</v>
      </c>
      <c r="L60" s="150">
        <v>150</v>
      </c>
      <c r="M60" s="48">
        <v>0</v>
      </c>
      <c r="N60" s="34">
        <f t="shared" si="2"/>
        <v>1200</v>
      </c>
      <c r="O60" s="28">
        <v>1</v>
      </c>
      <c r="P60" s="41">
        <v>0.27</v>
      </c>
      <c r="Q60" s="41">
        <v>1.4</v>
      </c>
      <c r="R60" s="31">
        <f t="shared" si="3"/>
        <v>292.5127857463628</v>
      </c>
      <c r="S60" s="31">
        <f t="shared" si="4"/>
        <v>1.9500852383090852</v>
      </c>
      <c r="T60" s="32">
        <f t="shared" si="5"/>
        <v>1542.6</v>
      </c>
      <c r="U60" s="32">
        <f t="shared" si="6"/>
        <v>10.283999999999999</v>
      </c>
      <c r="V60" s="2">
        <f t="shared" si="7"/>
        <v>6170.4</v>
      </c>
      <c r="W60" s="2">
        <f t="shared" si="8"/>
        <v>1156.95</v>
      </c>
      <c r="X60" s="2">
        <f t="shared" si="9"/>
        <v>10798.2</v>
      </c>
      <c r="Y60" s="2">
        <f t="shared" si="10"/>
        <v>971.8380000000001</v>
      </c>
      <c r="Z60" s="2">
        <f t="shared" si="11"/>
        <v>259.15680000000003</v>
      </c>
      <c r="AA60" s="2">
        <f t="shared" si="12"/>
        <v>2387.9448</v>
      </c>
      <c r="AB60" s="2">
        <f t="shared" si="13"/>
        <v>15.919632000000002</v>
      </c>
    </row>
    <row r="61" spans="1:28" ht="15">
      <c r="A61" s="30" t="str">
        <f t="shared" si="0"/>
        <v>Fert Appl (Liquid)12R-30</v>
      </c>
      <c r="B61" s="47" t="s">
        <v>115</v>
      </c>
      <c r="C61" s="47" t="s">
        <v>213</v>
      </c>
      <c r="D61" s="49">
        <v>25</v>
      </c>
      <c r="E61" s="3">
        <v>6</v>
      </c>
      <c r="F61" s="3">
        <v>0.7</v>
      </c>
      <c r="G61" s="84">
        <f t="shared" si="14"/>
        <v>0.07857142857142857</v>
      </c>
      <c r="H61" s="150">
        <v>15343</v>
      </c>
      <c r="I61" s="150">
        <v>40</v>
      </c>
      <c r="J61" s="150">
        <v>80</v>
      </c>
      <c r="K61" s="150">
        <v>8</v>
      </c>
      <c r="L61" s="150">
        <v>150</v>
      </c>
      <c r="M61" s="48">
        <v>0</v>
      </c>
      <c r="N61" s="34">
        <f t="shared" si="2"/>
        <v>1200</v>
      </c>
      <c r="O61" s="28">
        <v>1</v>
      </c>
      <c r="P61" s="41">
        <v>0.27</v>
      </c>
      <c r="Q61" s="41">
        <v>1.4</v>
      </c>
      <c r="R61" s="31">
        <f t="shared" si="3"/>
        <v>290.93891298498926</v>
      </c>
      <c r="S61" s="31">
        <f t="shared" si="4"/>
        <v>1.9395927532332617</v>
      </c>
      <c r="T61" s="32">
        <f t="shared" si="5"/>
        <v>1534.3</v>
      </c>
      <c r="U61" s="32">
        <f t="shared" si="6"/>
        <v>10.228666666666667</v>
      </c>
      <c r="V61" s="2">
        <f t="shared" si="7"/>
        <v>6137.2</v>
      </c>
      <c r="W61" s="2">
        <f t="shared" si="8"/>
        <v>1150.725</v>
      </c>
      <c r="X61" s="2">
        <f t="shared" si="9"/>
        <v>10740.1</v>
      </c>
      <c r="Y61" s="2">
        <f t="shared" si="10"/>
        <v>966.609</v>
      </c>
      <c r="Z61" s="2">
        <f t="shared" si="11"/>
        <v>257.7624</v>
      </c>
      <c r="AA61" s="2">
        <f t="shared" si="12"/>
        <v>2375.0964</v>
      </c>
      <c r="AB61" s="2">
        <f t="shared" si="13"/>
        <v>15.833976</v>
      </c>
    </row>
    <row r="62" spans="1:28" ht="15">
      <c r="A62" s="30" t="str">
        <f t="shared" si="0"/>
        <v>Fert Appl (Liquid)12R-36</v>
      </c>
      <c r="B62" s="47" t="s">
        <v>115</v>
      </c>
      <c r="C62" s="47" t="s">
        <v>376</v>
      </c>
      <c r="D62" s="49">
        <v>36</v>
      </c>
      <c r="E62" s="3">
        <v>6</v>
      </c>
      <c r="F62" s="3">
        <v>0.7</v>
      </c>
      <c r="G62" s="84">
        <f t="shared" si="14"/>
        <v>0.054563492063492064</v>
      </c>
      <c r="H62" s="150">
        <v>16651</v>
      </c>
      <c r="I62" s="150">
        <v>40</v>
      </c>
      <c r="J62" s="150">
        <v>80</v>
      </c>
      <c r="K62" s="150">
        <v>8</v>
      </c>
      <c r="L62" s="150">
        <v>150</v>
      </c>
      <c r="M62" s="48">
        <v>0</v>
      </c>
      <c r="N62" s="34">
        <f t="shared" si="2"/>
        <v>1200</v>
      </c>
      <c r="O62" s="28">
        <v>1</v>
      </c>
      <c r="P62" s="41">
        <v>0.27</v>
      </c>
      <c r="Q62" s="41">
        <v>1.4</v>
      </c>
      <c r="R62" s="31">
        <f t="shared" si="3"/>
        <v>315.741630718442</v>
      </c>
      <c r="S62" s="31">
        <f t="shared" si="4"/>
        <v>2.1049442047896134</v>
      </c>
      <c r="T62" s="32">
        <f t="shared" si="5"/>
        <v>1665.1</v>
      </c>
      <c r="U62" s="32">
        <f t="shared" si="6"/>
        <v>11.100666666666665</v>
      </c>
      <c r="V62" s="2">
        <f t="shared" si="7"/>
        <v>6660.4</v>
      </c>
      <c r="W62" s="2">
        <f t="shared" si="8"/>
        <v>1248.825</v>
      </c>
      <c r="X62" s="2">
        <f t="shared" si="9"/>
        <v>11655.7</v>
      </c>
      <c r="Y62" s="2">
        <f t="shared" si="10"/>
        <v>1049.013</v>
      </c>
      <c r="Z62" s="2">
        <f t="shared" si="11"/>
        <v>279.7368</v>
      </c>
      <c r="AA62" s="2">
        <f t="shared" si="12"/>
        <v>2577.5748000000003</v>
      </c>
      <c r="AB62" s="2">
        <f t="shared" si="13"/>
        <v>17.183832000000002</v>
      </c>
    </row>
    <row r="63" spans="1:28" ht="15">
      <c r="A63" s="30" t="str">
        <f t="shared" si="0"/>
        <v>Fert Appl (Liquid)4R-36</v>
      </c>
      <c r="B63" s="47" t="s">
        <v>115</v>
      </c>
      <c r="C63" s="47" t="s">
        <v>373</v>
      </c>
      <c r="D63" s="49">
        <v>12</v>
      </c>
      <c r="E63" s="3">
        <v>6</v>
      </c>
      <c r="F63" s="3">
        <v>0.7</v>
      </c>
      <c r="G63" s="84">
        <f t="shared" si="14"/>
        <v>0.1636904761904762</v>
      </c>
      <c r="H63" s="150">
        <v>11665</v>
      </c>
      <c r="I63" s="150">
        <v>40</v>
      </c>
      <c r="J63" s="150">
        <v>80</v>
      </c>
      <c r="K63" s="150">
        <v>8</v>
      </c>
      <c r="L63" s="150">
        <v>150</v>
      </c>
      <c r="M63" s="48">
        <v>0</v>
      </c>
      <c r="N63" s="34">
        <f t="shared" si="2"/>
        <v>1200</v>
      </c>
      <c r="O63" s="28">
        <v>1</v>
      </c>
      <c r="P63" s="41">
        <v>0.27</v>
      </c>
      <c r="Q63" s="41">
        <v>1.4</v>
      </c>
      <c r="R63" s="31">
        <f t="shared" si="3"/>
        <v>221.19549110147295</v>
      </c>
      <c r="S63" s="31">
        <f t="shared" si="4"/>
        <v>1.474636607343153</v>
      </c>
      <c r="T63" s="32">
        <f t="shared" si="5"/>
        <v>1166.5</v>
      </c>
      <c r="U63" s="32">
        <f t="shared" si="6"/>
        <v>7.776666666666666</v>
      </c>
      <c r="V63" s="2">
        <f t="shared" si="7"/>
        <v>4666</v>
      </c>
      <c r="W63" s="2">
        <f t="shared" si="8"/>
        <v>874.875</v>
      </c>
      <c r="X63" s="2">
        <f t="shared" si="9"/>
        <v>8165.5</v>
      </c>
      <c r="Y63" s="2">
        <f t="shared" si="10"/>
        <v>734.895</v>
      </c>
      <c r="Z63" s="2">
        <f t="shared" si="11"/>
        <v>195.972</v>
      </c>
      <c r="AA63" s="2">
        <f t="shared" si="12"/>
        <v>1805.742</v>
      </c>
      <c r="AB63" s="2">
        <f t="shared" si="13"/>
        <v>12.03828</v>
      </c>
    </row>
    <row r="64" spans="1:28" ht="15">
      <c r="A64" s="30" t="str">
        <f t="shared" si="0"/>
        <v>Fert Appl (Liquid)6R-30</v>
      </c>
      <c r="B64" s="47" t="s">
        <v>115</v>
      </c>
      <c r="C64" s="47" t="s">
        <v>99</v>
      </c>
      <c r="D64" s="49">
        <v>15</v>
      </c>
      <c r="E64" s="3">
        <v>6</v>
      </c>
      <c r="F64" s="3">
        <v>0.7</v>
      </c>
      <c r="G64" s="84">
        <f t="shared" si="14"/>
        <v>0.13095238095238096</v>
      </c>
      <c r="H64" s="150">
        <v>13595</v>
      </c>
      <c r="I64" s="150">
        <v>40</v>
      </c>
      <c r="J64" s="150">
        <v>80</v>
      </c>
      <c r="K64" s="150">
        <v>8</v>
      </c>
      <c r="L64" s="150">
        <v>150</v>
      </c>
      <c r="M64" s="48">
        <v>0</v>
      </c>
      <c r="N64" s="34">
        <f t="shared" si="2"/>
        <v>1200</v>
      </c>
      <c r="O64" s="28">
        <v>1</v>
      </c>
      <c r="P64" s="41">
        <v>0.27</v>
      </c>
      <c r="Q64" s="41">
        <v>1.4</v>
      </c>
      <c r="R64" s="31">
        <f t="shared" si="3"/>
        <v>257.7927733840141</v>
      </c>
      <c r="S64" s="31">
        <f t="shared" si="4"/>
        <v>1.7186184892267606</v>
      </c>
      <c r="T64" s="32">
        <f t="shared" si="5"/>
        <v>1359.5</v>
      </c>
      <c r="U64" s="32">
        <f t="shared" si="6"/>
        <v>9.063333333333333</v>
      </c>
      <c r="V64" s="2">
        <f t="shared" si="7"/>
        <v>5438</v>
      </c>
      <c r="W64" s="2">
        <f t="shared" si="8"/>
        <v>1019.625</v>
      </c>
      <c r="X64" s="2">
        <f t="shared" si="9"/>
        <v>9516.5</v>
      </c>
      <c r="Y64" s="2">
        <f t="shared" si="10"/>
        <v>856.485</v>
      </c>
      <c r="Z64" s="2">
        <f t="shared" si="11"/>
        <v>228.39600000000002</v>
      </c>
      <c r="AA64" s="2">
        <f t="shared" si="12"/>
        <v>2104.5060000000003</v>
      </c>
      <c r="AB64" s="2">
        <f t="shared" si="13"/>
        <v>14.030040000000001</v>
      </c>
    </row>
    <row r="65" spans="1:28" ht="15">
      <c r="A65" s="30" t="str">
        <f t="shared" si="0"/>
        <v>Fert Appl (Liquid)6R-36</v>
      </c>
      <c r="B65" s="47" t="s">
        <v>115</v>
      </c>
      <c r="C65" s="47" t="s">
        <v>374</v>
      </c>
      <c r="D65" s="49">
        <v>18</v>
      </c>
      <c r="E65" s="3">
        <v>6</v>
      </c>
      <c r="F65" s="3">
        <v>0.7</v>
      </c>
      <c r="G65" s="84">
        <f t="shared" si="14"/>
        <v>0.10912698412698413</v>
      </c>
      <c r="H65" s="150">
        <v>12006</v>
      </c>
      <c r="I65" s="150">
        <v>40</v>
      </c>
      <c r="J65" s="150">
        <v>80</v>
      </c>
      <c r="K65" s="150">
        <v>8</v>
      </c>
      <c r="L65" s="150">
        <v>150</v>
      </c>
      <c r="M65" s="48">
        <v>0</v>
      </c>
      <c r="N65" s="34">
        <f t="shared" si="2"/>
        <v>1200</v>
      </c>
      <c r="O65" s="28">
        <v>1</v>
      </c>
      <c r="P65" s="41">
        <v>0.27</v>
      </c>
      <c r="Q65" s="41">
        <v>1.4</v>
      </c>
      <c r="R65" s="31">
        <f t="shared" si="3"/>
        <v>227.66164304880277</v>
      </c>
      <c r="S65" s="31">
        <f t="shared" si="4"/>
        <v>1.5177442869920186</v>
      </c>
      <c r="T65" s="32">
        <f t="shared" si="5"/>
        <v>1200.6</v>
      </c>
      <c r="U65" s="32">
        <f t="shared" si="6"/>
        <v>8.004</v>
      </c>
      <c r="V65" s="2">
        <f t="shared" si="7"/>
        <v>4802.4</v>
      </c>
      <c r="W65" s="2">
        <f t="shared" si="8"/>
        <v>900.45</v>
      </c>
      <c r="X65" s="2">
        <f t="shared" si="9"/>
        <v>8404.2</v>
      </c>
      <c r="Y65" s="2">
        <f t="shared" si="10"/>
        <v>756.378</v>
      </c>
      <c r="Z65" s="2">
        <f t="shared" si="11"/>
        <v>201.70080000000002</v>
      </c>
      <c r="AA65" s="2">
        <f t="shared" si="12"/>
        <v>1858.5288</v>
      </c>
      <c r="AB65" s="2">
        <f t="shared" si="13"/>
        <v>12.390192</v>
      </c>
    </row>
    <row r="66" spans="1:28" ht="15">
      <c r="A66" s="30" t="str">
        <f t="shared" si="0"/>
        <v>Fert Appl (Liquid)8R-30</v>
      </c>
      <c r="B66" s="47" t="s">
        <v>115</v>
      </c>
      <c r="C66" s="47" t="s">
        <v>101</v>
      </c>
      <c r="D66" s="49">
        <v>20</v>
      </c>
      <c r="E66" s="3">
        <v>6</v>
      </c>
      <c r="F66" s="3">
        <v>0.7</v>
      </c>
      <c r="G66" s="84">
        <f t="shared" si="14"/>
        <v>0.09821428571428571</v>
      </c>
      <c r="H66" s="150">
        <v>13372</v>
      </c>
      <c r="I66" s="150">
        <v>40</v>
      </c>
      <c r="J66" s="150">
        <v>80</v>
      </c>
      <c r="K66" s="150">
        <v>8</v>
      </c>
      <c r="L66" s="150">
        <v>150</v>
      </c>
      <c r="M66" s="48">
        <v>0</v>
      </c>
      <c r="N66" s="34">
        <f t="shared" si="2"/>
        <v>1200</v>
      </c>
      <c r="O66" s="28">
        <v>1</v>
      </c>
      <c r="P66" s="41">
        <v>0.27</v>
      </c>
      <c r="Q66" s="41">
        <v>1.4</v>
      </c>
      <c r="R66" s="31">
        <f t="shared" si="3"/>
        <v>253.56417548297438</v>
      </c>
      <c r="S66" s="31">
        <f t="shared" si="4"/>
        <v>1.6904278365531624</v>
      </c>
      <c r="T66" s="32">
        <f t="shared" si="5"/>
        <v>1337.2</v>
      </c>
      <c r="U66" s="32">
        <f t="shared" si="6"/>
        <v>8.914666666666667</v>
      </c>
      <c r="V66" s="2">
        <f t="shared" si="7"/>
        <v>5348.8</v>
      </c>
      <c r="W66" s="2">
        <f t="shared" si="8"/>
        <v>1002.9</v>
      </c>
      <c r="X66" s="2">
        <f t="shared" si="9"/>
        <v>9360.4</v>
      </c>
      <c r="Y66" s="2">
        <f t="shared" si="10"/>
        <v>842.4359999999999</v>
      </c>
      <c r="Z66" s="2">
        <f t="shared" si="11"/>
        <v>224.6496</v>
      </c>
      <c r="AA66" s="2">
        <f t="shared" si="12"/>
        <v>2069.9856</v>
      </c>
      <c r="AB66" s="2">
        <f t="shared" si="13"/>
        <v>13.799904</v>
      </c>
    </row>
    <row r="67" spans="1:28" ht="15">
      <c r="A67" s="30" t="str">
        <f t="shared" si="0"/>
        <v>Fert Appl (Liquid)8R-36</v>
      </c>
      <c r="B67" s="47" t="s">
        <v>115</v>
      </c>
      <c r="C67" s="47" t="s">
        <v>377</v>
      </c>
      <c r="D67" s="49">
        <v>24</v>
      </c>
      <c r="E67" s="3">
        <v>6</v>
      </c>
      <c r="F67" s="3">
        <v>0.7</v>
      </c>
      <c r="G67" s="84">
        <f t="shared" si="14"/>
        <v>0.0818452380952381</v>
      </c>
      <c r="H67" s="150">
        <v>13483</v>
      </c>
      <c r="I67" s="150">
        <v>40</v>
      </c>
      <c r="J67" s="150">
        <v>80</v>
      </c>
      <c r="K67" s="150">
        <v>8</v>
      </c>
      <c r="L67" s="150">
        <v>150</v>
      </c>
      <c r="M67" s="48">
        <v>0</v>
      </c>
      <c r="N67" s="34">
        <f t="shared" si="2"/>
        <v>1200</v>
      </c>
      <c r="O67" s="28">
        <v>1</v>
      </c>
      <c r="P67" s="41">
        <v>0.27</v>
      </c>
      <c r="Q67" s="41">
        <v>1.4</v>
      </c>
      <c r="R67" s="31">
        <f t="shared" si="3"/>
        <v>255.66899327228117</v>
      </c>
      <c r="S67" s="31">
        <f t="shared" si="4"/>
        <v>1.704459955148541</v>
      </c>
      <c r="T67" s="32">
        <f t="shared" si="5"/>
        <v>1348.3</v>
      </c>
      <c r="U67" s="32">
        <f t="shared" si="6"/>
        <v>8.988666666666667</v>
      </c>
      <c r="V67" s="2">
        <f t="shared" si="7"/>
        <v>5393.2</v>
      </c>
      <c r="W67" s="2">
        <f t="shared" si="8"/>
        <v>1011.225</v>
      </c>
      <c r="X67" s="2">
        <f t="shared" si="9"/>
        <v>9438.1</v>
      </c>
      <c r="Y67" s="2">
        <f t="shared" si="10"/>
        <v>849.429</v>
      </c>
      <c r="Z67" s="2">
        <f t="shared" si="11"/>
        <v>226.51440000000002</v>
      </c>
      <c r="AA67" s="2">
        <f t="shared" si="12"/>
        <v>2087.1684</v>
      </c>
      <c r="AB67" s="2">
        <f t="shared" si="13"/>
        <v>13.914456</v>
      </c>
    </row>
    <row r="68" spans="1:28" ht="15">
      <c r="A68" s="30" t="str">
        <f t="shared" si="0"/>
        <v>Fert Appl (Liquid)8R-40 2x1</v>
      </c>
      <c r="B68" s="47" t="s">
        <v>115</v>
      </c>
      <c r="C68" s="47" t="s">
        <v>113</v>
      </c>
      <c r="D68" s="49">
        <v>40</v>
      </c>
      <c r="E68" s="3">
        <v>6</v>
      </c>
      <c r="F68" s="3">
        <v>0.7</v>
      </c>
      <c r="G68" s="84">
        <f t="shared" si="14"/>
        <v>0.049107142857142856</v>
      </c>
      <c r="H68" s="150">
        <v>16651</v>
      </c>
      <c r="I68" s="150">
        <v>40</v>
      </c>
      <c r="J68" s="150">
        <v>80</v>
      </c>
      <c r="K68" s="150">
        <v>8</v>
      </c>
      <c r="L68" s="150">
        <v>150</v>
      </c>
      <c r="M68" s="48">
        <v>0</v>
      </c>
      <c r="N68" s="34">
        <f t="shared" si="2"/>
        <v>1200</v>
      </c>
      <c r="O68" s="28">
        <v>1</v>
      </c>
      <c r="P68" s="41">
        <v>0.27</v>
      </c>
      <c r="Q68" s="41">
        <v>1.4</v>
      </c>
      <c r="R68" s="31">
        <f t="shared" si="3"/>
        <v>315.741630718442</v>
      </c>
      <c r="S68" s="31">
        <f t="shared" si="4"/>
        <v>2.1049442047896134</v>
      </c>
      <c r="T68" s="32">
        <f t="shared" si="5"/>
        <v>1665.1</v>
      </c>
      <c r="U68" s="32">
        <f t="shared" si="6"/>
        <v>11.100666666666665</v>
      </c>
      <c r="V68" s="2">
        <f t="shared" si="7"/>
        <v>6660.4</v>
      </c>
      <c r="W68" s="2">
        <f t="shared" si="8"/>
        <v>1248.825</v>
      </c>
      <c r="X68" s="2">
        <f t="shared" si="9"/>
        <v>11655.7</v>
      </c>
      <c r="Y68" s="2">
        <f t="shared" si="10"/>
        <v>1049.013</v>
      </c>
      <c r="Z68" s="2">
        <f t="shared" si="11"/>
        <v>279.7368</v>
      </c>
      <c r="AA68" s="2">
        <f t="shared" si="12"/>
        <v>2577.5748000000003</v>
      </c>
      <c r="AB68" s="2">
        <f t="shared" si="13"/>
        <v>17.183832000000002</v>
      </c>
    </row>
    <row r="69" spans="1:28" ht="15">
      <c r="A69" s="30" t="str">
        <f t="shared" si="0"/>
        <v>Field Cult &amp; Inc12'</v>
      </c>
      <c r="B69" s="47" t="s">
        <v>116</v>
      </c>
      <c r="C69" s="47" t="s">
        <v>92</v>
      </c>
      <c r="D69" s="49">
        <v>12</v>
      </c>
      <c r="E69" s="3">
        <v>6.5</v>
      </c>
      <c r="F69" s="3">
        <v>0.85</v>
      </c>
      <c r="G69" s="84">
        <f t="shared" si="14"/>
        <v>0.12443438914027148</v>
      </c>
      <c r="H69" s="150">
        <v>11903</v>
      </c>
      <c r="I69" s="150">
        <v>30</v>
      </c>
      <c r="J69" s="150">
        <v>25</v>
      </c>
      <c r="K69" s="150">
        <v>10</v>
      </c>
      <c r="L69" s="150">
        <v>100</v>
      </c>
      <c r="M69" s="48">
        <v>0</v>
      </c>
      <c r="N69" s="34">
        <f t="shared" si="2"/>
        <v>1000</v>
      </c>
      <c r="O69" s="28">
        <v>1</v>
      </c>
      <c r="P69" s="41">
        <v>0.27</v>
      </c>
      <c r="Q69" s="41">
        <v>1.4</v>
      </c>
      <c r="R69" s="31">
        <f t="shared" si="3"/>
        <v>127.94408057965359</v>
      </c>
      <c r="S69" s="31">
        <f t="shared" si="4"/>
        <v>1.2794408057965359</v>
      </c>
      <c r="T69" s="32">
        <f t="shared" si="5"/>
        <v>297.575</v>
      </c>
      <c r="U69" s="32">
        <f t="shared" si="6"/>
        <v>2.9757499999999997</v>
      </c>
      <c r="V69" s="2">
        <f t="shared" si="7"/>
        <v>3570.9</v>
      </c>
      <c r="W69" s="2">
        <f t="shared" si="8"/>
        <v>833.21</v>
      </c>
      <c r="X69" s="2">
        <f t="shared" si="9"/>
        <v>7736.95</v>
      </c>
      <c r="Y69" s="2">
        <f t="shared" si="10"/>
        <v>696.3254999999999</v>
      </c>
      <c r="Z69" s="2">
        <f t="shared" si="11"/>
        <v>185.6868</v>
      </c>
      <c r="AA69" s="2">
        <f t="shared" si="12"/>
        <v>1715.2223</v>
      </c>
      <c r="AB69" s="2">
        <f t="shared" si="13"/>
        <v>17.152223</v>
      </c>
    </row>
    <row r="70" spans="1:28" ht="15">
      <c r="A70" s="30" t="str">
        <f aca="true" t="shared" si="15" ref="A70:A133">+CONCATENATE(B70,C70)</f>
        <v>Field Cult &amp; Inc24'</v>
      </c>
      <c r="B70" s="47" t="s">
        <v>116</v>
      </c>
      <c r="C70" s="47" t="s">
        <v>94</v>
      </c>
      <c r="D70" s="49">
        <v>24</v>
      </c>
      <c r="E70" s="3">
        <v>6.5</v>
      </c>
      <c r="F70" s="3">
        <v>0.85</v>
      </c>
      <c r="G70" s="84">
        <f aca="true" t="shared" si="16" ref="G70:G101">1/((D70*E70*5280*F70)/43560)</f>
        <v>0.06221719457013574</v>
      </c>
      <c r="H70" s="150">
        <v>23242</v>
      </c>
      <c r="I70" s="150">
        <v>30</v>
      </c>
      <c r="J70" s="150">
        <v>25</v>
      </c>
      <c r="K70" s="150">
        <v>10</v>
      </c>
      <c r="L70" s="150">
        <v>100</v>
      </c>
      <c r="M70" s="48">
        <v>0</v>
      </c>
      <c r="N70" s="34">
        <f aca="true" t="shared" si="17" ref="N70:N133">+K70*L70</f>
        <v>1000</v>
      </c>
      <c r="O70" s="28">
        <v>1</v>
      </c>
      <c r="P70" s="41">
        <v>0.27</v>
      </c>
      <c r="Q70" s="41">
        <v>1.4</v>
      </c>
      <c r="R70" s="31">
        <f aca="true" t="shared" si="18" ref="R70:R133">+(P70*H70)*((O70*L70/1000)^Q70)</f>
        <v>249.8257851661185</v>
      </c>
      <c r="S70" s="31">
        <f aca="true" t="shared" si="19" ref="S70:S133">+R70/L70</f>
        <v>2.498257851661185</v>
      </c>
      <c r="T70" s="32">
        <f aca="true" t="shared" si="20" ref="T70:T133">+(H70*J70/100)/K70</f>
        <v>581.05</v>
      </c>
      <c r="U70" s="32">
        <f aca="true" t="shared" si="21" ref="U70:U133">+T70/L70</f>
        <v>5.810499999999999</v>
      </c>
      <c r="V70" s="2">
        <f aca="true" t="shared" si="22" ref="V70:V133">+(H70*I70/100)</f>
        <v>6972.6</v>
      </c>
      <c r="W70" s="2">
        <f aca="true" t="shared" si="23" ref="W70:W133">+(H70-V70)/K70</f>
        <v>1626.94</v>
      </c>
      <c r="X70" s="2">
        <f aca="true" t="shared" si="24" ref="X70:X133">+(V70+H70)/2</f>
        <v>15107.3</v>
      </c>
      <c r="Y70" s="2">
        <f aca="true" t="shared" si="25" ref="Y70:Y133">+X70*iir</f>
        <v>1359.657</v>
      </c>
      <c r="Z70" s="2">
        <f aca="true" t="shared" si="26" ref="Z70:Z133">+X70*ins_tax</f>
        <v>362.5752</v>
      </c>
      <c r="AA70" s="2">
        <f aca="true" t="shared" si="27" ref="AA70:AA133">+Z70+Y70+W70</f>
        <v>3349.1722</v>
      </c>
      <c r="AB70" s="2">
        <f aca="true" t="shared" si="28" ref="AB70:AB133">+AA70/L70</f>
        <v>33.491722</v>
      </c>
    </row>
    <row r="71" spans="1:28" ht="15">
      <c r="A71" s="30" t="str">
        <f t="shared" si="15"/>
        <v>Field Cult &amp; Inc32'</v>
      </c>
      <c r="B71" s="47" t="s">
        <v>116</v>
      </c>
      <c r="C71" s="47" t="s">
        <v>95</v>
      </c>
      <c r="D71" s="49">
        <v>32</v>
      </c>
      <c r="E71" s="3">
        <v>6.5</v>
      </c>
      <c r="F71" s="3">
        <v>0.85</v>
      </c>
      <c r="G71" s="84">
        <f t="shared" si="16"/>
        <v>0.04666289592760181</v>
      </c>
      <c r="H71" s="150">
        <v>31960</v>
      </c>
      <c r="I71" s="150">
        <v>30</v>
      </c>
      <c r="J71" s="150">
        <v>25</v>
      </c>
      <c r="K71" s="150">
        <v>10</v>
      </c>
      <c r="L71" s="150">
        <v>100</v>
      </c>
      <c r="M71" s="48">
        <v>0</v>
      </c>
      <c r="N71" s="34">
        <f t="shared" si="17"/>
        <v>1000</v>
      </c>
      <c r="O71" s="28">
        <v>1</v>
      </c>
      <c r="P71" s="41">
        <v>0.27</v>
      </c>
      <c r="Q71" s="41">
        <v>1.4</v>
      </c>
      <c r="R71" s="31">
        <f t="shared" si="18"/>
        <v>343.53463961402406</v>
      </c>
      <c r="S71" s="31">
        <f t="shared" si="19"/>
        <v>3.4353463961402406</v>
      </c>
      <c r="T71" s="32">
        <f t="shared" si="20"/>
        <v>799</v>
      </c>
      <c r="U71" s="32">
        <f t="shared" si="21"/>
        <v>7.99</v>
      </c>
      <c r="V71" s="2">
        <f t="shared" si="22"/>
        <v>9588</v>
      </c>
      <c r="W71" s="2">
        <f t="shared" si="23"/>
        <v>2237.2</v>
      </c>
      <c r="X71" s="2">
        <f t="shared" si="24"/>
        <v>20774</v>
      </c>
      <c r="Y71" s="2">
        <f t="shared" si="25"/>
        <v>1869.6599999999999</v>
      </c>
      <c r="Z71" s="2">
        <f t="shared" si="26"/>
        <v>498.576</v>
      </c>
      <c r="AA71" s="2">
        <f t="shared" si="27"/>
        <v>4605.436</v>
      </c>
      <c r="AB71" s="2">
        <f t="shared" si="28"/>
        <v>46.054359999999996</v>
      </c>
    </row>
    <row r="72" spans="1:28" ht="15">
      <c r="A72" s="30" t="str">
        <f t="shared" si="15"/>
        <v>Field Cult &amp; Inc42'</v>
      </c>
      <c r="B72" s="47" t="s">
        <v>116</v>
      </c>
      <c r="C72" s="47" t="s">
        <v>96</v>
      </c>
      <c r="D72" s="49">
        <v>42</v>
      </c>
      <c r="E72" s="3">
        <v>6.5</v>
      </c>
      <c r="F72" s="3">
        <v>0.85</v>
      </c>
      <c r="G72" s="84">
        <f t="shared" si="16"/>
        <v>0.03555268261150614</v>
      </c>
      <c r="H72" s="150">
        <v>40908</v>
      </c>
      <c r="I72" s="150">
        <v>30</v>
      </c>
      <c r="J72" s="150">
        <v>25</v>
      </c>
      <c r="K72" s="150">
        <v>10</v>
      </c>
      <c r="L72" s="150">
        <v>100</v>
      </c>
      <c r="M72" s="48">
        <v>0</v>
      </c>
      <c r="N72" s="34">
        <f t="shared" si="17"/>
        <v>1000</v>
      </c>
      <c r="O72" s="28">
        <v>1</v>
      </c>
      <c r="P72" s="41">
        <v>0.27</v>
      </c>
      <c r="Q72" s="41">
        <v>1.4</v>
      </c>
      <c r="R72" s="31">
        <f t="shared" si="18"/>
        <v>439.71573959106684</v>
      </c>
      <c r="S72" s="31">
        <f t="shared" si="19"/>
        <v>4.397157395910669</v>
      </c>
      <c r="T72" s="32">
        <f t="shared" si="20"/>
        <v>1022.7</v>
      </c>
      <c r="U72" s="32">
        <f t="shared" si="21"/>
        <v>10.227</v>
      </c>
      <c r="V72" s="2">
        <f t="shared" si="22"/>
        <v>12272.4</v>
      </c>
      <c r="W72" s="2">
        <f t="shared" si="23"/>
        <v>2863.56</v>
      </c>
      <c r="X72" s="2">
        <f t="shared" si="24"/>
        <v>26590.2</v>
      </c>
      <c r="Y72" s="2">
        <f t="shared" si="25"/>
        <v>2393.118</v>
      </c>
      <c r="Z72" s="2">
        <f t="shared" si="26"/>
        <v>638.1648</v>
      </c>
      <c r="AA72" s="2">
        <f t="shared" si="27"/>
        <v>5894.8428</v>
      </c>
      <c r="AB72" s="2">
        <f t="shared" si="28"/>
        <v>58.94842800000001</v>
      </c>
    </row>
    <row r="73" spans="1:28" ht="15">
      <c r="A73" s="30" t="str">
        <f t="shared" si="15"/>
        <v>Field Cultivate12'</v>
      </c>
      <c r="B73" s="47" t="s">
        <v>117</v>
      </c>
      <c r="C73" s="47" t="s">
        <v>92</v>
      </c>
      <c r="D73" s="49">
        <v>12</v>
      </c>
      <c r="E73" s="3">
        <v>6.5</v>
      </c>
      <c r="F73" s="3">
        <v>0.85</v>
      </c>
      <c r="G73" s="84">
        <f t="shared" si="16"/>
        <v>0.12443438914027148</v>
      </c>
      <c r="H73" s="150">
        <v>6534</v>
      </c>
      <c r="I73" s="150">
        <v>30</v>
      </c>
      <c r="J73" s="150">
        <v>25</v>
      </c>
      <c r="K73" s="150">
        <v>10</v>
      </c>
      <c r="L73" s="150">
        <v>100</v>
      </c>
      <c r="M73" s="48">
        <v>0</v>
      </c>
      <c r="N73" s="34">
        <f t="shared" si="17"/>
        <v>1000</v>
      </c>
      <c r="O73" s="28">
        <v>1</v>
      </c>
      <c r="P73" s="41">
        <v>0.27</v>
      </c>
      <c r="Q73" s="41">
        <v>1.4</v>
      </c>
      <c r="R73" s="31">
        <f t="shared" si="18"/>
        <v>70.23327081470693</v>
      </c>
      <c r="S73" s="31">
        <f t="shared" si="19"/>
        <v>0.7023327081470693</v>
      </c>
      <c r="T73" s="32">
        <f t="shared" si="20"/>
        <v>163.35</v>
      </c>
      <c r="U73" s="32">
        <f t="shared" si="21"/>
        <v>1.6335</v>
      </c>
      <c r="V73" s="2">
        <f t="shared" si="22"/>
        <v>1960.2</v>
      </c>
      <c r="W73" s="2">
        <f t="shared" si="23"/>
        <v>457.38</v>
      </c>
      <c r="X73" s="2">
        <f t="shared" si="24"/>
        <v>4247.1</v>
      </c>
      <c r="Y73" s="2">
        <f t="shared" si="25"/>
        <v>382.23900000000003</v>
      </c>
      <c r="Z73" s="2">
        <f t="shared" si="26"/>
        <v>101.9304</v>
      </c>
      <c r="AA73" s="2">
        <f t="shared" si="27"/>
        <v>941.5494000000001</v>
      </c>
      <c r="AB73" s="2">
        <f t="shared" si="28"/>
        <v>9.415494</v>
      </c>
    </row>
    <row r="74" spans="1:28" ht="15">
      <c r="A74" s="30" t="str">
        <f t="shared" si="15"/>
        <v>Field Cultivate24'</v>
      </c>
      <c r="B74" s="47" t="s">
        <v>117</v>
      </c>
      <c r="C74" s="47" t="s">
        <v>94</v>
      </c>
      <c r="D74" s="49">
        <v>24</v>
      </c>
      <c r="E74" s="3">
        <v>6.5</v>
      </c>
      <c r="F74" s="3">
        <v>0.85</v>
      </c>
      <c r="G74" s="84">
        <f t="shared" si="16"/>
        <v>0.06221719457013574</v>
      </c>
      <c r="H74" s="150">
        <v>17873</v>
      </c>
      <c r="I74" s="150">
        <v>30</v>
      </c>
      <c r="J74" s="150">
        <v>25</v>
      </c>
      <c r="K74" s="150">
        <v>10</v>
      </c>
      <c r="L74" s="150">
        <v>100</v>
      </c>
      <c r="M74" s="48">
        <v>0</v>
      </c>
      <c r="N74" s="34">
        <f t="shared" si="17"/>
        <v>1000</v>
      </c>
      <c r="O74" s="28">
        <v>1</v>
      </c>
      <c r="P74" s="41">
        <v>0.27</v>
      </c>
      <c r="Q74" s="41">
        <v>1.4</v>
      </c>
      <c r="R74" s="31">
        <f t="shared" si="18"/>
        <v>192.11497540117185</v>
      </c>
      <c r="S74" s="31">
        <f t="shared" si="19"/>
        <v>1.9211497540117184</v>
      </c>
      <c r="T74" s="32">
        <f t="shared" si="20"/>
        <v>446.825</v>
      </c>
      <c r="U74" s="32">
        <f t="shared" si="21"/>
        <v>4.46825</v>
      </c>
      <c r="V74" s="2">
        <f t="shared" si="22"/>
        <v>5361.9</v>
      </c>
      <c r="W74" s="2">
        <f t="shared" si="23"/>
        <v>1251.1100000000001</v>
      </c>
      <c r="X74" s="2">
        <f t="shared" si="24"/>
        <v>11617.45</v>
      </c>
      <c r="Y74" s="2">
        <f t="shared" si="25"/>
        <v>1045.5705</v>
      </c>
      <c r="Z74" s="2">
        <f t="shared" si="26"/>
        <v>278.8188</v>
      </c>
      <c r="AA74" s="2">
        <f t="shared" si="27"/>
        <v>2575.4993000000004</v>
      </c>
      <c r="AB74" s="2">
        <f t="shared" si="28"/>
        <v>25.754993000000002</v>
      </c>
    </row>
    <row r="75" spans="1:28" ht="15">
      <c r="A75" s="30" t="str">
        <f t="shared" si="15"/>
        <v>Field Cultivate32'</v>
      </c>
      <c r="B75" s="47" t="s">
        <v>117</v>
      </c>
      <c r="C75" s="47" t="s">
        <v>95</v>
      </c>
      <c r="D75" s="49">
        <v>32</v>
      </c>
      <c r="E75" s="3">
        <v>6.5</v>
      </c>
      <c r="F75" s="3">
        <v>0.85</v>
      </c>
      <c r="G75" s="84">
        <f t="shared" si="16"/>
        <v>0.04666289592760181</v>
      </c>
      <c r="H75" s="150">
        <v>26591</v>
      </c>
      <c r="I75" s="150">
        <v>30</v>
      </c>
      <c r="J75" s="150">
        <v>25</v>
      </c>
      <c r="K75" s="150">
        <v>10</v>
      </c>
      <c r="L75" s="150">
        <v>100</v>
      </c>
      <c r="M75" s="48">
        <v>0</v>
      </c>
      <c r="N75" s="34">
        <f t="shared" si="17"/>
        <v>1000</v>
      </c>
      <c r="O75" s="28">
        <v>1</v>
      </c>
      <c r="P75" s="41">
        <v>0.27</v>
      </c>
      <c r="Q75" s="41">
        <v>1.4</v>
      </c>
      <c r="R75" s="31">
        <f t="shared" si="18"/>
        <v>285.8238298490774</v>
      </c>
      <c r="S75" s="31">
        <f t="shared" si="19"/>
        <v>2.858238298490774</v>
      </c>
      <c r="T75" s="32">
        <f t="shared" si="20"/>
        <v>664.775</v>
      </c>
      <c r="U75" s="32">
        <f t="shared" si="21"/>
        <v>6.647749999999999</v>
      </c>
      <c r="V75" s="2">
        <f t="shared" si="22"/>
        <v>7977.3</v>
      </c>
      <c r="W75" s="2">
        <f t="shared" si="23"/>
        <v>1861.3700000000001</v>
      </c>
      <c r="X75" s="2">
        <f t="shared" si="24"/>
        <v>17284.15</v>
      </c>
      <c r="Y75" s="2">
        <f t="shared" si="25"/>
        <v>1555.5735</v>
      </c>
      <c r="Z75" s="2">
        <f t="shared" si="26"/>
        <v>414.81960000000004</v>
      </c>
      <c r="AA75" s="2">
        <f t="shared" si="27"/>
        <v>3831.7631</v>
      </c>
      <c r="AB75" s="2">
        <f t="shared" si="28"/>
        <v>38.317631</v>
      </c>
    </row>
    <row r="76" spans="1:28" ht="15">
      <c r="A76" s="30" t="str">
        <f t="shared" si="15"/>
        <v>Field Cultivate42'</v>
      </c>
      <c r="B76" s="47" t="s">
        <v>117</v>
      </c>
      <c r="C76" s="47" t="s">
        <v>96</v>
      </c>
      <c r="D76" s="49">
        <v>42</v>
      </c>
      <c r="E76" s="3">
        <v>6.5</v>
      </c>
      <c r="F76" s="3">
        <v>0.85</v>
      </c>
      <c r="G76" s="84">
        <f t="shared" si="16"/>
        <v>0.03555268261150614</v>
      </c>
      <c r="H76" s="150">
        <v>35335</v>
      </c>
      <c r="I76" s="150">
        <v>30</v>
      </c>
      <c r="J76" s="150">
        <v>25</v>
      </c>
      <c r="K76" s="150">
        <v>10</v>
      </c>
      <c r="L76" s="150">
        <v>100</v>
      </c>
      <c r="M76" s="48">
        <v>0</v>
      </c>
      <c r="N76" s="34">
        <f t="shared" si="17"/>
        <v>1000</v>
      </c>
      <c r="O76" s="28">
        <v>1</v>
      </c>
      <c r="P76" s="41">
        <v>0.27</v>
      </c>
      <c r="Q76" s="41">
        <v>1.4</v>
      </c>
      <c r="R76" s="31">
        <f t="shared" si="18"/>
        <v>379.81215553071155</v>
      </c>
      <c r="S76" s="31">
        <f t="shared" si="19"/>
        <v>3.7981215553071155</v>
      </c>
      <c r="T76" s="32">
        <f t="shared" si="20"/>
        <v>883.375</v>
      </c>
      <c r="U76" s="32">
        <f t="shared" si="21"/>
        <v>8.83375</v>
      </c>
      <c r="V76" s="2">
        <f t="shared" si="22"/>
        <v>10600.5</v>
      </c>
      <c r="W76" s="2">
        <f t="shared" si="23"/>
        <v>2473.45</v>
      </c>
      <c r="X76" s="2">
        <f t="shared" si="24"/>
        <v>22967.75</v>
      </c>
      <c r="Y76" s="2">
        <f t="shared" si="25"/>
        <v>2067.0975</v>
      </c>
      <c r="Z76" s="2">
        <f t="shared" si="26"/>
        <v>551.226</v>
      </c>
      <c r="AA76" s="2">
        <f t="shared" si="27"/>
        <v>5091.773499999999</v>
      </c>
      <c r="AB76" s="2">
        <f t="shared" si="28"/>
        <v>50.91773499999999</v>
      </c>
    </row>
    <row r="77" spans="1:28" ht="15">
      <c r="A77" s="30" t="str">
        <f t="shared" si="15"/>
        <v>Field Cultivate50'</v>
      </c>
      <c r="B77" s="47" t="s">
        <v>117</v>
      </c>
      <c r="C77" s="47" t="s">
        <v>110</v>
      </c>
      <c r="D77" s="49">
        <v>50</v>
      </c>
      <c r="E77" s="3">
        <v>6.5</v>
      </c>
      <c r="F77" s="3">
        <v>0.85</v>
      </c>
      <c r="G77" s="84">
        <f t="shared" si="16"/>
        <v>0.02986425339366516</v>
      </c>
      <c r="H77" s="150">
        <v>40929</v>
      </c>
      <c r="I77" s="150">
        <v>30</v>
      </c>
      <c r="J77" s="150">
        <v>25</v>
      </c>
      <c r="K77" s="150">
        <v>10</v>
      </c>
      <c r="L77" s="150">
        <v>100</v>
      </c>
      <c r="M77" s="48">
        <v>0</v>
      </c>
      <c r="N77" s="34">
        <f t="shared" si="17"/>
        <v>1000</v>
      </c>
      <c r="O77" s="28">
        <v>1</v>
      </c>
      <c r="P77" s="41">
        <v>0.27</v>
      </c>
      <c r="Q77" s="41">
        <v>1.4</v>
      </c>
      <c r="R77" s="31">
        <f t="shared" si="18"/>
        <v>439.94146635677066</v>
      </c>
      <c r="S77" s="31">
        <f t="shared" si="19"/>
        <v>4.399414663567707</v>
      </c>
      <c r="T77" s="32">
        <f t="shared" si="20"/>
        <v>1023.225</v>
      </c>
      <c r="U77" s="32">
        <f t="shared" si="21"/>
        <v>10.23225</v>
      </c>
      <c r="V77" s="2">
        <f t="shared" si="22"/>
        <v>12278.7</v>
      </c>
      <c r="W77" s="2">
        <f t="shared" si="23"/>
        <v>2865.0299999999997</v>
      </c>
      <c r="X77" s="2">
        <f t="shared" si="24"/>
        <v>26603.85</v>
      </c>
      <c r="Y77" s="2">
        <f t="shared" si="25"/>
        <v>2394.3464999999997</v>
      </c>
      <c r="Z77" s="2">
        <f t="shared" si="26"/>
        <v>638.4924</v>
      </c>
      <c r="AA77" s="2">
        <f t="shared" si="27"/>
        <v>5897.8688999999995</v>
      </c>
      <c r="AB77" s="2">
        <f t="shared" si="28"/>
        <v>58.978688999999996</v>
      </c>
    </row>
    <row r="78" spans="1:28" ht="15">
      <c r="A78" s="30" t="str">
        <f t="shared" si="15"/>
        <v>Grain Drill &amp; Pre12'</v>
      </c>
      <c r="B78" s="47" t="s">
        <v>227</v>
      </c>
      <c r="C78" s="47" t="s">
        <v>92</v>
      </c>
      <c r="D78" s="49">
        <v>12</v>
      </c>
      <c r="E78" s="3">
        <v>6.25</v>
      </c>
      <c r="F78" s="3">
        <v>0.7</v>
      </c>
      <c r="G78" s="84">
        <f t="shared" si="16"/>
        <v>0.15714285714285714</v>
      </c>
      <c r="H78" s="150">
        <v>19526</v>
      </c>
      <c r="I78" s="150">
        <v>45</v>
      </c>
      <c r="J78" s="150">
        <v>45</v>
      </c>
      <c r="K78" s="150">
        <v>8</v>
      </c>
      <c r="L78" s="150">
        <v>150</v>
      </c>
      <c r="M78" s="48">
        <v>0</v>
      </c>
      <c r="N78" s="34">
        <f t="shared" si="17"/>
        <v>1200</v>
      </c>
      <c r="O78" s="28">
        <v>1</v>
      </c>
      <c r="P78" s="41">
        <v>0.27</v>
      </c>
      <c r="Q78" s="41">
        <v>1.4</v>
      </c>
      <c r="R78" s="31">
        <f t="shared" si="18"/>
        <v>370.25830769373005</v>
      </c>
      <c r="S78" s="31">
        <f t="shared" si="19"/>
        <v>2.4683887179582005</v>
      </c>
      <c r="T78" s="32">
        <f t="shared" si="20"/>
        <v>1098.3375</v>
      </c>
      <c r="U78" s="32">
        <f t="shared" si="21"/>
        <v>7.32225</v>
      </c>
      <c r="V78" s="2">
        <f t="shared" si="22"/>
        <v>8786.7</v>
      </c>
      <c r="W78" s="2">
        <f t="shared" si="23"/>
        <v>1342.4125</v>
      </c>
      <c r="X78" s="2">
        <f t="shared" si="24"/>
        <v>14156.35</v>
      </c>
      <c r="Y78" s="2">
        <f t="shared" si="25"/>
        <v>1274.0715</v>
      </c>
      <c r="Z78" s="2">
        <f t="shared" si="26"/>
        <v>339.7524</v>
      </c>
      <c r="AA78" s="2">
        <f t="shared" si="27"/>
        <v>2956.2364</v>
      </c>
      <c r="AB78" s="2">
        <f t="shared" si="28"/>
        <v>19.708242666666663</v>
      </c>
    </row>
    <row r="79" spans="1:28" ht="15">
      <c r="A79" s="30" t="str">
        <f t="shared" si="15"/>
        <v>Grain Drill &amp; Pre15'</v>
      </c>
      <c r="B79" s="47" t="s">
        <v>227</v>
      </c>
      <c r="C79" s="47" t="s">
        <v>120</v>
      </c>
      <c r="D79" s="49">
        <v>15</v>
      </c>
      <c r="E79" s="3">
        <v>6.25</v>
      </c>
      <c r="F79" s="3">
        <v>0.7</v>
      </c>
      <c r="G79" s="84">
        <f t="shared" si="16"/>
        <v>0.12571428571428572</v>
      </c>
      <c r="H79" s="150">
        <v>29836</v>
      </c>
      <c r="I79" s="150">
        <v>45</v>
      </c>
      <c r="J79" s="150">
        <v>45</v>
      </c>
      <c r="K79" s="150">
        <v>8</v>
      </c>
      <c r="L79" s="150">
        <v>150</v>
      </c>
      <c r="M79" s="48">
        <v>0</v>
      </c>
      <c r="N79" s="34">
        <f t="shared" si="17"/>
        <v>1200</v>
      </c>
      <c r="O79" s="28">
        <v>1</v>
      </c>
      <c r="P79" s="41">
        <v>0.27</v>
      </c>
      <c r="Q79" s="41">
        <v>1.4</v>
      </c>
      <c r="R79" s="31">
        <f t="shared" si="18"/>
        <v>565.7598519077194</v>
      </c>
      <c r="S79" s="31">
        <f t="shared" si="19"/>
        <v>3.7717323460514627</v>
      </c>
      <c r="T79" s="32">
        <f t="shared" si="20"/>
        <v>1678.275</v>
      </c>
      <c r="U79" s="32">
        <f t="shared" si="21"/>
        <v>11.188500000000001</v>
      </c>
      <c r="V79" s="2">
        <f t="shared" si="22"/>
        <v>13426.2</v>
      </c>
      <c r="W79" s="2">
        <f t="shared" si="23"/>
        <v>2051.225</v>
      </c>
      <c r="X79" s="2">
        <f t="shared" si="24"/>
        <v>21631.1</v>
      </c>
      <c r="Y79" s="2">
        <f t="shared" si="25"/>
        <v>1946.7989999999998</v>
      </c>
      <c r="Z79" s="2">
        <f t="shared" si="26"/>
        <v>519.1464</v>
      </c>
      <c r="AA79" s="2">
        <f t="shared" si="27"/>
        <v>4517.170399999999</v>
      </c>
      <c r="AB79" s="2">
        <f t="shared" si="28"/>
        <v>30.11446933333333</v>
      </c>
    </row>
    <row r="80" spans="1:28" ht="15">
      <c r="A80" s="30" t="str">
        <f t="shared" si="15"/>
        <v>Grain Drill &amp; Pre20'</v>
      </c>
      <c r="B80" s="47" t="s">
        <v>227</v>
      </c>
      <c r="C80" s="47" t="s">
        <v>107</v>
      </c>
      <c r="D80" s="49">
        <v>20</v>
      </c>
      <c r="E80" s="3">
        <v>6.25</v>
      </c>
      <c r="F80" s="3">
        <v>0.7</v>
      </c>
      <c r="G80" s="84">
        <f t="shared" si="16"/>
        <v>0.09428571428571429</v>
      </c>
      <c r="H80" s="150">
        <v>36913</v>
      </c>
      <c r="I80" s="150">
        <v>45</v>
      </c>
      <c r="J80" s="150">
        <v>45</v>
      </c>
      <c r="K80" s="150">
        <v>8</v>
      </c>
      <c r="L80" s="150">
        <v>150</v>
      </c>
      <c r="M80" s="48">
        <v>0</v>
      </c>
      <c r="N80" s="34">
        <f t="shared" si="17"/>
        <v>1200</v>
      </c>
      <c r="O80" s="28">
        <v>1</v>
      </c>
      <c r="P80" s="41">
        <v>0.27</v>
      </c>
      <c r="Q80" s="41">
        <v>1.4</v>
      </c>
      <c r="R80" s="31">
        <f t="shared" si="18"/>
        <v>699.9562077178457</v>
      </c>
      <c r="S80" s="31">
        <f t="shared" si="19"/>
        <v>4.666374718118972</v>
      </c>
      <c r="T80" s="32">
        <f t="shared" si="20"/>
        <v>2076.35625</v>
      </c>
      <c r="U80" s="32">
        <f t="shared" si="21"/>
        <v>13.842374999999999</v>
      </c>
      <c r="V80" s="2">
        <f t="shared" si="22"/>
        <v>16610.85</v>
      </c>
      <c r="W80" s="2">
        <f t="shared" si="23"/>
        <v>2537.76875</v>
      </c>
      <c r="X80" s="2">
        <f t="shared" si="24"/>
        <v>26761.925</v>
      </c>
      <c r="Y80" s="2">
        <f t="shared" si="25"/>
        <v>2408.57325</v>
      </c>
      <c r="Z80" s="2">
        <f t="shared" si="26"/>
        <v>642.2862</v>
      </c>
      <c r="AA80" s="2">
        <f t="shared" si="27"/>
        <v>5588.6282</v>
      </c>
      <c r="AB80" s="2">
        <f t="shared" si="28"/>
        <v>37.25752133333334</v>
      </c>
    </row>
    <row r="81" spans="1:28" ht="15">
      <c r="A81" s="30" t="str">
        <f t="shared" si="15"/>
        <v>Grain Drill &amp; Pre24'</v>
      </c>
      <c r="B81" s="47" t="s">
        <v>227</v>
      </c>
      <c r="C81" s="47" t="s">
        <v>94</v>
      </c>
      <c r="D81" s="49">
        <v>24</v>
      </c>
      <c r="E81" s="3">
        <v>6.25</v>
      </c>
      <c r="F81" s="3">
        <v>0.7</v>
      </c>
      <c r="G81" s="84">
        <f t="shared" si="16"/>
        <v>0.07857142857142857</v>
      </c>
      <c r="H81" s="150">
        <v>41418</v>
      </c>
      <c r="I81" s="150">
        <v>45</v>
      </c>
      <c r="J81" s="150">
        <v>45</v>
      </c>
      <c r="K81" s="150">
        <v>8</v>
      </c>
      <c r="L81" s="150">
        <v>150</v>
      </c>
      <c r="M81" s="48">
        <v>0</v>
      </c>
      <c r="N81" s="34">
        <f t="shared" si="17"/>
        <v>1200</v>
      </c>
      <c r="O81" s="28">
        <v>1</v>
      </c>
      <c r="P81" s="41">
        <v>0.27</v>
      </c>
      <c r="Q81" s="41">
        <v>1.4</v>
      </c>
      <c r="R81" s="31">
        <f t="shared" si="18"/>
        <v>785.3814702478188</v>
      </c>
      <c r="S81" s="31">
        <f t="shared" si="19"/>
        <v>5.235876468318792</v>
      </c>
      <c r="T81" s="32">
        <f t="shared" si="20"/>
        <v>2329.7625</v>
      </c>
      <c r="U81" s="32">
        <f t="shared" si="21"/>
        <v>15.531749999999999</v>
      </c>
      <c r="V81" s="2">
        <f t="shared" si="22"/>
        <v>18638.1</v>
      </c>
      <c r="W81" s="2">
        <f t="shared" si="23"/>
        <v>2847.4875</v>
      </c>
      <c r="X81" s="2">
        <f t="shared" si="24"/>
        <v>30028.05</v>
      </c>
      <c r="Y81" s="2">
        <f t="shared" si="25"/>
        <v>2702.5245</v>
      </c>
      <c r="Z81" s="2">
        <f t="shared" si="26"/>
        <v>720.6732</v>
      </c>
      <c r="AA81" s="2">
        <f t="shared" si="27"/>
        <v>6270.6852</v>
      </c>
      <c r="AB81" s="2">
        <f t="shared" si="28"/>
        <v>41.804567999999996</v>
      </c>
    </row>
    <row r="82" spans="1:28" ht="15">
      <c r="A82" s="30" t="str">
        <f t="shared" si="15"/>
        <v>Grain Drill &amp; Pre30'</v>
      </c>
      <c r="B82" s="47" t="s">
        <v>227</v>
      </c>
      <c r="C82" s="47" t="s">
        <v>119</v>
      </c>
      <c r="D82" s="49">
        <v>30</v>
      </c>
      <c r="E82" s="3">
        <v>6.25</v>
      </c>
      <c r="F82" s="3">
        <v>0.7</v>
      </c>
      <c r="G82" s="84">
        <f t="shared" si="16"/>
        <v>0.06285714285714286</v>
      </c>
      <c r="H82" s="150">
        <v>48097</v>
      </c>
      <c r="I82" s="150">
        <v>45</v>
      </c>
      <c r="J82" s="150">
        <v>45</v>
      </c>
      <c r="K82" s="150">
        <v>8</v>
      </c>
      <c r="L82" s="150">
        <v>150</v>
      </c>
      <c r="M82" s="48">
        <v>0</v>
      </c>
      <c r="N82" s="34">
        <f t="shared" si="17"/>
        <v>1200</v>
      </c>
      <c r="O82" s="28">
        <v>1</v>
      </c>
      <c r="P82" s="41">
        <v>0.27</v>
      </c>
      <c r="Q82" s="41">
        <v>1.4</v>
      </c>
      <c r="R82" s="31">
        <f t="shared" si="18"/>
        <v>912.0308217323227</v>
      </c>
      <c r="S82" s="31">
        <f t="shared" si="19"/>
        <v>6.080205478215484</v>
      </c>
      <c r="T82" s="32">
        <f t="shared" si="20"/>
        <v>2705.45625</v>
      </c>
      <c r="U82" s="32">
        <f t="shared" si="21"/>
        <v>18.036375</v>
      </c>
      <c r="V82" s="2">
        <f t="shared" si="22"/>
        <v>21643.65</v>
      </c>
      <c r="W82" s="2">
        <f t="shared" si="23"/>
        <v>3306.66875</v>
      </c>
      <c r="X82" s="2">
        <f t="shared" si="24"/>
        <v>34870.325</v>
      </c>
      <c r="Y82" s="2">
        <f t="shared" si="25"/>
        <v>3138.32925</v>
      </c>
      <c r="Z82" s="2">
        <f t="shared" si="26"/>
        <v>836.8878</v>
      </c>
      <c r="AA82" s="2">
        <f t="shared" si="27"/>
        <v>7281.8858</v>
      </c>
      <c r="AB82" s="2">
        <f t="shared" si="28"/>
        <v>48.54590533333333</v>
      </c>
    </row>
    <row r="83" spans="1:28" ht="15">
      <c r="A83" s="30" t="str">
        <f t="shared" si="15"/>
        <v>Grain Drill12'</v>
      </c>
      <c r="B83" s="47" t="s">
        <v>118</v>
      </c>
      <c r="C83" s="47" t="s">
        <v>92</v>
      </c>
      <c r="D83" s="49">
        <v>12</v>
      </c>
      <c r="E83" s="3">
        <v>6.25</v>
      </c>
      <c r="F83" s="3">
        <v>0.7</v>
      </c>
      <c r="G83" s="84">
        <f t="shared" si="16"/>
        <v>0.15714285714285714</v>
      </c>
      <c r="H83" s="150">
        <v>14157</v>
      </c>
      <c r="I83" s="150">
        <v>45</v>
      </c>
      <c r="J83" s="150">
        <v>45</v>
      </c>
      <c r="K83" s="150">
        <v>8</v>
      </c>
      <c r="L83" s="150">
        <v>150</v>
      </c>
      <c r="M83" s="48">
        <v>0</v>
      </c>
      <c r="N83" s="34">
        <f t="shared" si="17"/>
        <v>1200</v>
      </c>
      <c r="O83" s="28">
        <v>1</v>
      </c>
      <c r="P83" s="41">
        <v>0.27</v>
      </c>
      <c r="Q83" s="41">
        <v>1.4</v>
      </c>
      <c r="R83" s="31">
        <f t="shared" si="18"/>
        <v>268.4495985875313</v>
      </c>
      <c r="S83" s="31">
        <f t="shared" si="19"/>
        <v>1.7896639905835419</v>
      </c>
      <c r="T83" s="32">
        <f t="shared" si="20"/>
        <v>796.33125</v>
      </c>
      <c r="U83" s="32">
        <f t="shared" si="21"/>
        <v>5.308875</v>
      </c>
      <c r="V83" s="2">
        <f t="shared" si="22"/>
        <v>6370.65</v>
      </c>
      <c r="W83" s="2">
        <f t="shared" si="23"/>
        <v>973.29375</v>
      </c>
      <c r="X83" s="2">
        <f t="shared" si="24"/>
        <v>10263.825</v>
      </c>
      <c r="Y83" s="2">
        <f t="shared" si="25"/>
        <v>923.7442500000001</v>
      </c>
      <c r="Z83" s="2">
        <f t="shared" si="26"/>
        <v>246.33180000000002</v>
      </c>
      <c r="AA83" s="2">
        <f t="shared" si="27"/>
        <v>2143.3698000000004</v>
      </c>
      <c r="AB83" s="2">
        <f t="shared" si="28"/>
        <v>14.289132000000002</v>
      </c>
    </row>
    <row r="84" spans="1:28" ht="15">
      <c r="A84" s="30" t="str">
        <f t="shared" si="15"/>
        <v>Grain Drill15'</v>
      </c>
      <c r="B84" s="47" t="s">
        <v>118</v>
      </c>
      <c r="C84" s="47" t="s">
        <v>120</v>
      </c>
      <c r="D84" s="49">
        <v>15</v>
      </c>
      <c r="E84" s="3">
        <v>6.25</v>
      </c>
      <c r="F84" s="3">
        <v>0.7</v>
      </c>
      <c r="G84" s="84">
        <f t="shared" si="16"/>
        <v>0.12571428571428572</v>
      </c>
      <c r="H84" s="150">
        <v>24467</v>
      </c>
      <c r="I84" s="150">
        <v>45</v>
      </c>
      <c r="J84" s="150">
        <v>45</v>
      </c>
      <c r="K84" s="150">
        <v>8</v>
      </c>
      <c r="L84" s="150">
        <v>150</v>
      </c>
      <c r="M84" s="48">
        <v>0</v>
      </c>
      <c r="N84" s="34">
        <f t="shared" si="17"/>
        <v>1200</v>
      </c>
      <c r="O84" s="28">
        <v>1</v>
      </c>
      <c r="P84" s="41">
        <v>0.27</v>
      </c>
      <c r="Q84" s="41">
        <v>1.4</v>
      </c>
      <c r="R84" s="31">
        <f t="shared" si="18"/>
        <v>463.95114280152063</v>
      </c>
      <c r="S84" s="31">
        <f t="shared" si="19"/>
        <v>3.093007618676804</v>
      </c>
      <c r="T84" s="32">
        <f t="shared" si="20"/>
        <v>1376.26875</v>
      </c>
      <c r="U84" s="32">
        <f t="shared" si="21"/>
        <v>9.175125</v>
      </c>
      <c r="V84" s="2">
        <f t="shared" si="22"/>
        <v>11010.15</v>
      </c>
      <c r="W84" s="2">
        <f t="shared" si="23"/>
        <v>1682.10625</v>
      </c>
      <c r="X84" s="2">
        <f t="shared" si="24"/>
        <v>17738.575</v>
      </c>
      <c r="Y84" s="2">
        <f t="shared" si="25"/>
        <v>1596.47175</v>
      </c>
      <c r="Z84" s="2">
        <f t="shared" si="26"/>
        <v>425.72580000000005</v>
      </c>
      <c r="AA84" s="2">
        <f t="shared" si="27"/>
        <v>3704.3037999999997</v>
      </c>
      <c r="AB84" s="2">
        <f t="shared" si="28"/>
        <v>24.695358666666664</v>
      </c>
    </row>
    <row r="85" spans="1:28" ht="15">
      <c r="A85" s="30" t="str">
        <f t="shared" si="15"/>
        <v>Grain Drill20'</v>
      </c>
      <c r="B85" s="47" t="s">
        <v>118</v>
      </c>
      <c r="C85" s="47" t="s">
        <v>107</v>
      </c>
      <c r="D85" s="49">
        <v>20</v>
      </c>
      <c r="E85" s="3">
        <v>6.25</v>
      </c>
      <c r="F85" s="3">
        <v>0.7</v>
      </c>
      <c r="G85" s="84">
        <f t="shared" si="16"/>
        <v>0.09428571428571429</v>
      </c>
      <c r="H85" s="150">
        <v>31543</v>
      </c>
      <c r="I85" s="150">
        <v>45</v>
      </c>
      <c r="J85" s="150">
        <v>45</v>
      </c>
      <c r="K85" s="150">
        <v>8</v>
      </c>
      <c r="L85" s="150">
        <v>150</v>
      </c>
      <c r="M85" s="48">
        <v>0</v>
      </c>
      <c r="N85" s="34">
        <f t="shared" si="17"/>
        <v>1200</v>
      </c>
      <c r="O85" s="28">
        <v>1</v>
      </c>
      <c r="P85" s="41">
        <v>0.27</v>
      </c>
      <c r="Q85" s="41">
        <v>1.4</v>
      </c>
      <c r="R85" s="31">
        <f t="shared" si="18"/>
        <v>598.1285362892208</v>
      </c>
      <c r="S85" s="31">
        <f t="shared" si="19"/>
        <v>3.987523575261472</v>
      </c>
      <c r="T85" s="32">
        <f t="shared" si="20"/>
        <v>1774.29375</v>
      </c>
      <c r="U85" s="32">
        <f t="shared" si="21"/>
        <v>11.828625</v>
      </c>
      <c r="V85" s="2">
        <f t="shared" si="22"/>
        <v>14194.35</v>
      </c>
      <c r="W85" s="2">
        <f t="shared" si="23"/>
        <v>2168.58125</v>
      </c>
      <c r="X85" s="2">
        <f t="shared" si="24"/>
        <v>22868.675</v>
      </c>
      <c r="Y85" s="2">
        <f t="shared" si="25"/>
        <v>2058.18075</v>
      </c>
      <c r="Z85" s="2">
        <f t="shared" si="26"/>
        <v>548.8482</v>
      </c>
      <c r="AA85" s="2">
        <f t="shared" si="27"/>
        <v>4775.6102</v>
      </c>
      <c r="AB85" s="2">
        <f t="shared" si="28"/>
        <v>31.837401333333332</v>
      </c>
    </row>
    <row r="86" spans="1:28" ht="15">
      <c r="A86" s="30" t="str">
        <f t="shared" si="15"/>
        <v>Grain Drill24'</v>
      </c>
      <c r="B86" s="47" t="s">
        <v>118</v>
      </c>
      <c r="C86" s="47" t="s">
        <v>94</v>
      </c>
      <c r="D86" s="49">
        <v>24</v>
      </c>
      <c r="E86" s="3">
        <v>6.25</v>
      </c>
      <c r="F86" s="3">
        <v>0.7</v>
      </c>
      <c r="G86" s="84">
        <f t="shared" si="16"/>
        <v>0.07857142857142857</v>
      </c>
      <c r="H86" s="150">
        <v>36048</v>
      </c>
      <c r="I86" s="150">
        <v>45</v>
      </c>
      <c r="J86" s="150">
        <v>45</v>
      </c>
      <c r="K86" s="150">
        <v>8</v>
      </c>
      <c r="L86" s="150">
        <v>150</v>
      </c>
      <c r="M86" s="48">
        <v>0</v>
      </c>
      <c r="N86" s="34">
        <f t="shared" si="17"/>
        <v>1200</v>
      </c>
      <c r="O86" s="28">
        <v>1</v>
      </c>
      <c r="P86" s="41">
        <v>0.27</v>
      </c>
      <c r="Q86" s="41">
        <v>1.4</v>
      </c>
      <c r="R86" s="31">
        <f t="shared" si="18"/>
        <v>683.553798819194</v>
      </c>
      <c r="S86" s="31">
        <f t="shared" si="19"/>
        <v>4.557025325461293</v>
      </c>
      <c r="T86" s="32">
        <f t="shared" si="20"/>
        <v>2027.7</v>
      </c>
      <c r="U86" s="32">
        <f t="shared" si="21"/>
        <v>13.518</v>
      </c>
      <c r="V86" s="2">
        <f t="shared" si="22"/>
        <v>16221.6</v>
      </c>
      <c r="W86" s="2">
        <f t="shared" si="23"/>
        <v>2478.3</v>
      </c>
      <c r="X86" s="2">
        <f t="shared" si="24"/>
        <v>26134.8</v>
      </c>
      <c r="Y86" s="2">
        <f t="shared" si="25"/>
        <v>2352.132</v>
      </c>
      <c r="Z86" s="2">
        <f t="shared" si="26"/>
        <v>627.2352</v>
      </c>
      <c r="AA86" s="2">
        <f t="shared" si="27"/>
        <v>5457.6672</v>
      </c>
      <c r="AB86" s="2">
        <f t="shared" si="28"/>
        <v>36.384448</v>
      </c>
    </row>
    <row r="87" spans="1:28" ht="15">
      <c r="A87" s="30" t="str">
        <f t="shared" si="15"/>
        <v>Grain Drill30'</v>
      </c>
      <c r="B87" s="47" t="s">
        <v>118</v>
      </c>
      <c r="C87" s="47" t="s">
        <v>119</v>
      </c>
      <c r="D87" s="49">
        <v>30</v>
      </c>
      <c r="E87" s="3">
        <v>6.25</v>
      </c>
      <c r="F87" s="3">
        <v>0.7</v>
      </c>
      <c r="G87" s="84">
        <f t="shared" si="16"/>
        <v>0.06285714285714286</v>
      </c>
      <c r="H87" s="150">
        <v>42727</v>
      </c>
      <c r="I87" s="150">
        <v>45</v>
      </c>
      <c r="J87" s="150">
        <v>45</v>
      </c>
      <c r="K87" s="150">
        <v>8</v>
      </c>
      <c r="L87" s="150">
        <v>150</v>
      </c>
      <c r="M87" s="48">
        <v>0</v>
      </c>
      <c r="N87" s="34">
        <f t="shared" si="17"/>
        <v>1200</v>
      </c>
      <c r="O87" s="28">
        <v>1</v>
      </c>
      <c r="P87" s="41">
        <v>0.27</v>
      </c>
      <c r="Q87" s="41">
        <v>1.4</v>
      </c>
      <c r="R87" s="31">
        <f t="shared" si="18"/>
        <v>810.2031503036978</v>
      </c>
      <c r="S87" s="31">
        <f t="shared" si="19"/>
        <v>5.401354335357985</v>
      </c>
      <c r="T87" s="32">
        <f t="shared" si="20"/>
        <v>2403.39375</v>
      </c>
      <c r="U87" s="32">
        <f t="shared" si="21"/>
        <v>16.022625</v>
      </c>
      <c r="V87" s="2">
        <f t="shared" si="22"/>
        <v>19227.15</v>
      </c>
      <c r="W87" s="2">
        <f t="shared" si="23"/>
        <v>2937.48125</v>
      </c>
      <c r="X87" s="2">
        <f t="shared" si="24"/>
        <v>30977.075</v>
      </c>
      <c r="Y87" s="2">
        <f t="shared" si="25"/>
        <v>2787.93675</v>
      </c>
      <c r="Z87" s="2">
        <f t="shared" si="26"/>
        <v>743.4498</v>
      </c>
      <c r="AA87" s="2">
        <f t="shared" si="27"/>
        <v>6468.8678</v>
      </c>
      <c r="AB87" s="2">
        <f t="shared" si="28"/>
        <v>43.12578533333333</v>
      </c>
    </row>
    <row r="88" spans="1:28" ht="15">
      <c r="A88" s="30" t="str">
        <f t="shared" si="15"/>
        <v>Harrow13'</v>
      </c>
      <c r="B88" s="47" t="s">
        <v>121</v>
      </c>
      <c r="C88" s="47" t="s">
        <v>134</v>
      </c>
      <c r="D88" s="49">
        <v>13</v>
      </c>
      <c r="E88" s="3">
        <v>6.25</v>
      </c>
      <c r="F88" s="3">
        <v>0.85</v>
      </c>
      <c r="G88" s="84">
        <f t="shared" si="16"/>
        <v>0.11945701357466064</v>
      </c>
      <c r="H88" s="150">
        <v>3690</v>
      </c>
      <c r="I88" s="150">
        <v>30</v>
      </c>
      <c r="J88" s="150">
        <v>70</v>
      </c>
      <c r="K88" s="150">
        <v>10</v>
      </c>
      <c r="L88" s="150">
        <v>200</v>
      </c>
      <c r="M88" s="48">
        <v>0</v>
      </c>
      <c r="N88" s="34">
        <f t="shared" si="17"/>
        <v>2000</v>
      </c>
      <c r="O88" s="28">
        <v>1</v>
      </c>
      <c r="P88" s="41">
        <v>0.27</v>
      </c>
      <c r="Q88" s="41">
        <v>1.4</v>
      </c>
      <c r="R88" s="31">
        <f t="shared" si="18"/>
        <v>104.67238606109895</v>
      </c>
      <c r="S88" s="31">
        <f t="shared" si="19"/>
        <v>0.5233619303054947</v>
      </c>
      <c r="T88" s="32">
        <f t="shared" si="20"/>
        <v>258.3</v>
      </c>
      <c r="U88" s="32">
        <f t="shared" si="21"/>
        <v>1.2915</v>
      </c>
      <c r="V88" s="2">
        <f t="shared" si="22"/>
        <v>1107</v>
      </c>
      <c r="W88" s="2">
        <f t="shared" si="23"/>
        <v>258.3</v>
      </c>
      <c r="X88" s="2">
        <f t="shared" si="24"/>
        <v>2398.5</v>
      </c>
      <c r="Y88" s="2">
        <f t="shared" si="25"/>
        <v>215.86499999999998</v>
      </c>
      <c r="Z88" s="2">
        <f t="shared" si="26"/>
        <v>57.564</v>
      </c>
      <c r="AA88" s="2">
        <f t="shared" si="27"/>
        <v>531.729</v>
      </c>
      <c r="AB88" s="2">
        <f t="shared" si="28"/>
        <v>2.6586450000000004</v>
      </c>
    </row>
    <row r="89" spans="1:28" ht="15">
      <c r="A89" s="30" t="str">
        <f t="shared" si="15"/>
        <v>Harrow21'</v>
      </c>
      <c r="B89" s="47" t="s">
        <v>121</v>
      </c>
      <c r="C89" s="47" t="s">
        <v>125</v>
      </c>
      <c r="D89" s="49">
        <v>21</v>
      </c>
      <c r="E89" s="3">
        <v>6.25</v>
      </c>
      <c r="F89" s="3">
        <v>0.85</v>
      </c>
      <c r="G89" s="84">
        <f t="shared" si="16"/>
        <v>0.07394957983193277</v>
      </c>
      <c r="H89" s="150">
        <v>4590</v>
      </c>
      <c r="I89" s="150">
        <v>30</v>
      </c>
      <c r="J89" s="150">
        <v>70</v>
      </c>
      <c r="K89" s="150">
        <v>10</v>
      </c>
      <c r="L89" s="150">
        <v>200</v>
      </c>
      <c r="M89" s="48">
        <v>0</v>
      </c>
      <c r="N89" s="34">
        <f t="shared" si="17"/>
        <v>2000</v>
      </c>
      <c r="O89" s="28">
        <v>1</v>
      </c>
      <c r="P89" s="41">
        <v>0.27</v>
      </c>
      <c r="Q89" s="41">
        <v>1.4</v>
      </c>
      <c r="R89" s="31">
        <f t="shared" si="18"/>
        <v>130.2022363199036</v>
      </c>
      <c r="S89" s="31">
        <f t="shared" si="19"/>
        <v>0.651011181599518</v>
      </c>
      <c r="T89" s="32">
        <f t="shared" si="20"/>
        <v>321.3</v>
      </c>
      <c r="U89" s="32">
        <f t="shared" si="21"/>
        <v>1.6065</v>
      </c>
      <c r="V89" s="2">
        <f t="shared" si="22"/>
        <v>1377</v>
      </c>
      <c r="W89" s="2">
        <f t="shared" si="23"/>
        <v>321.3</v>
      </c>
      <c r="X89" s="2">
        <f t="shared" si="24"/>
        <v>2983.5</v>
      </c>
      <c r="Y89" s="2">
        <f t="shared" si="25"/>
        <v>268.515</v>
      </c>
      <c r="Z89" s="2">
        <f t="shared" si="26"/>
        <v>71.604</v>
      </c>
      <c r="AA89" s="2">
        <f t="shared" si="27"/>
        <v>661.419</v>
      </c>
      <c r="AB89" s="2">
        <f t="shared" si="28"/>
        <v>3.307095</v>
      </c>
    </row>
    <row r="90" spans="1:28" ht="15">
      <c r="A90" s="30" t="str">
        <f t="shared" si="15"/>
        <v>Harrow40'</v>
      </c>
      <c r="B90" s="47" t="s">
        <v>121</v>
      </c>
      <c r="C90" s="47" t="s">
        <v>122</v>
      </c>
      <c r="D90" s="49">
        <v>40</v>
      </c>
      <c r="E90" s="3">
        <v>6.25</v>
      </c>
      <c r="F90" s="3">
        <v>0.85</v>
      </c>
      <c r="G90" s="84">
        <f t="shared" si="16"/>
        <v>0.03882352941176471</v>
      </c>
      <c r="H90" s="150">
        <v>10620</v>
      </c>
      <c r="I90" s="150">
        <v>30</v>
      </c>
      <c r="J90" s="150">
        <v>70</v>
      </c>
      <c r="K90" s="150">
        <v>10</v>
      </c>
      <c r="L90" s="150">
        <v>200</v>
      </c>
      <c r="M90" s="48">
        <v>0</v>
      </c>
      <c r="N90" s="34">
        <f t="shared" si="17"/>
        <v>2000</v>
      </c>
      <c r="O90" s="28">
        <v>1</v>
      </c>
      <c r="P90" s="41">
        <v>0.27</v>
      </c>
      <c r="Q90" s="41">
        <v>1.4</v>
      </c>
      <c r="R90" s="31">
        <f t="shared" si="18"/>
        <v>301.25223305389454</v>
      </c>
      <c r="S90" s="31">
        <f t="shared" si="19"/>
        <v>1.5062611652694726</v>
      </c>
      <c r="T90" s="32">
        <f t="shared" si="20"/>
        <v>743.4</v>
      </c>
      <c r="U90" s="32">
        <f t="shared" si="21"/>
        <v>3.717</v>
      </c>
      <c r="V90" s="2">
        <f t="shared" si="22"/>
        <v>3186</v>
      </c>
      <c r="W90" s="2">
        <f t="shared" si="23"/>
        <v>743.4</v>
      </c>
      <c r="X90" s="2">
        <f t="shared" si="24"/>
        <v>6903</v>
      </c>
      <c r="Y90" s="2">
        <f t="shared" si="25"/>
        <v>621.27</v>
      </c>
      <c r="Z90" s="2">
        <f t="shared" si="26"/>
        <v>165.672</v>
      </c>
      <c r="AA90" s="2">
        <f t="shared" si="27"/>
        <v>1530.342</v>
      </c>
      <c r="AB90" s="2">
        <f t="shared" si="28"/>
        <v>7.6517100000000005</v>
      </c>
    </row>
    <row r="91" spans="1:28" ht="15">
      <c r="A91" s="30" t="str">
        <f t="shared" si="15"/>
        <v>Harrow47'</v>
      </c>
      <c r="B91" s="47" t="s">
        <v>121</v>
      </c>
      <c r="C91" s="47" t="s">
        <v>123</v>
      </c>
      <c r="D91" s="49">
        <v>47</v>
      </c>
      <c r="E91" s="3">
        <v>6.25</v>
      </c>
      <c r="F91" s="3">
        <v>0.85</v>
      </c>
      <c r="G91" s="84">
        <f t="shared" si="16"/>
        <v>0.033041301627033795</v>
      </c>
      <c r="H91" s="150">
        <v>11000</v>
      </c>
      <c r="I91" s="150">
        <v>30</v>
      </c>
      <c r="J91" s="150">
        <v>70</v>
      </c>
      <c r="K91" s="150">
        <v>10</v>
      </c>
      <c r="L91" s="150">
        <v>200</v>
      </c>
      <c r="M91" s="48">
        <v>0</v>
      </c>
      <c r="N91" s="34">
        <f t="shared" si="17"/>
        <v>2000</v>
      </c>
      <c r="O91" s="28">
        <v>1</v>
      </c>
      <c r="P91" s="41">
        <v>0.27</v>
      </c>
      <c r="Q91" s="41">
        <v>1.4</v>
      </c>
      <c r="R91" s="31">
        <f t="shared" si="18"/>
        <v>312.0315031631676</v>
      </c>
      <c r="S91" s="31">
        <f t="shared" si="19"/>
        <v>1.560157515815838</v>
      </c>
      <c r="T91" s="32">
        <f t="shared" si="20"/>
        <v>770</v>
      </c>
      <c r="U91" s="32">
        <f t="shared" si="21"/>
        <v>3.85</v>
      </c>
      <c r="V91" s="2">
        <f t="shared" si="22"/>
        <v>3300</v>
      </c>
      <c r="W91" s="2">
        <f t="shared" si="23"/>
        <v>770</v>
      </c>
      <c r="X91" s="2">
        <f t="shared" si="24"/>
        <v>7150</v>
      </c>
      <c r="Y91" s="2">
        <f t="shared" si="25"/>
        <v>643.5</v>
      </c>
      <c r="Z91" s="2">
        <f t="shared" si="26"/>
        <v>171.6</v>
      </c>
      <c r="AA91" s="2">
        <f t="shared" si="27"/>
        <v>1585.1</v>
      </c>
      <c r="AB91" s="2">
        <f t="shared" si="28"/>
        <v>7.9254999999999995</v>
      </c>
    </row>
    <row r="92" spans="1:28" ht="15">
      <c r="A92" s="30" t="str">
        <f t="shared" si="15"/>
        <v>Heavy Disk14'</v>
      </c>
      <c r="B92" s="47" t="s">
        <v>124</v>
      </c>
      <c r="C92" s="47" t="s">
        <v>109</v>
      </c>
      <c r="D92" s="49">
        <v>14</v>
      </c>
      <c r="E92" s="3">
        <v>4.75</v>
      </c>
      <c r="F92" s="3">
        <v>0.85</v>
      </c>
      <c r="G92" s="84">
        <f t="shared" si="16"/>
        <v>0.145953118089341</v>
      </c>
      <c r="H92" s="150">
        <v>13475</v>
      </c>
      <c r="I92" s="150">
        <v>30</v>
      </c>
      <c r="J92" s="150">
        <v>50</v>
      </c>
      <c r="K92" s="150">
        <v>10</v>
      </c>
      <c r="L92" s="150">
        <v>180</v>
      </c>
      <c r="M92" s="48">
        <v>0</v>
      </c>
      <c r="N92" s="34">
        <f t="shared" si="17"/>
        <v>1800</v>
      </c>
      <c r="O92" s="28">
        <v>1</v>
      </c>
      <c r="P92" s="41">
        <v>0.27</v>
      </c>
      <c r="Q92" s="41">
        <v>1.4</v>
      </c>
      <c r="R92" s="31">
        <f t="shared" si="18"/>
        <v>329.81776559716087</v>
      </c>
      <c r="S92" s="31">
        <f t="shared" si="19"/>
        <v>1.832320919984227</v>
      </c>
      <c r="T92" s="32">
        <f t="shared" si="20"/>
        <v>673.75</v>
      </c>
      <c r="U92" s="32">
        <f t="shared" si="21"/>
        <v>3.7430555555555554</v>
      </c>
      <c r="V92" s="2">
        <f t="shared" si="22"/>
        <v>4042.5</v>
      </c>
      <c r="W92" s="2">
        <f t="shared" si="23"/>
        <v>943.25</v>
      </c>
      <c r="X92" s="2">
        <f t="shared" si="24"/>
        <v>8758.75</v>
      </c>
      <c r="Y92" s="2">
        <f t="shared" si="25"/>
        <v>788.2875</v>
      </c>
      <c r="Z92" s="2">
        <f t="shared" si="26"/>
        <v>210.21</v>
      </c>
      <c r="AA92" s="2">
        <f t="shared" si="27"/>
        <v>1941.7475</v>
      </c>
      <c r="AB92" s="2">
        <f t="shared" si="28"/>
        <v>10.78748611111111</v>
      </c>
    </row>
    <row r="93" spans="1:28" ht="15">
      <c r="A93" s="30" t="str">
        <f t="shared" si="15"/>
        <v>Heavy Disk21'</v>
      </c>
      <c r="B93" s="47" t="s">
        <v>124</v>
      </c>
      <c r="C93" s="47" t="s">
        <v>125</v>
      </c>
      <c r="D93" s="49">
        <v>21</v>
      </c>
      <c r="E93" s="3">
        <v>4.75</v>
      </c>
      <c r="F93" s="3">
        <v>0.85</v>
      </c>
      <c r="G93" s="84">
        <f t="shared" si="16"/>
        <v>0.09730207872622733</v>
      </c>
      <c r="H93" s="150">
        <v>32764</v>
      </c>
      <c r="I93" s="150">
        <v>30</v>
      </c>
      <c r="J93" s="150">
        <v>50</v>
      </c>
      <c r="K93" s="150">
        <v>10</v>
      </c>
      <c r="L93" s="150">
        <v>180</v>
      </c>
      <c r="M93" s="48">
        <v>0</v>
      </c>
      <c r="N93" s="34">
        <f t="shared" si="17"/>
        <v>1800</v>
      </c>
      <c r="O93" s="28">
        <v>1</v>
      </c>
      <c r="P93" s="41">
        <v>0.27</v>
      </c>
      <c r="Q93" s="41">
        <v>1.4</v>
      </c>
      <c r="R93" s="31">
        <f t="shared" si="18"/>
        <v>801.940576773683</v>
      </c>
      <c r="S93" s="31">
        <f t="shared" si="19"/>
        <v>4.455225426520461</v>
      </c>
      <c r="T93" s="32">
        <f t="shared" si="20"/>
        <v>1638.2</v>
      </c>
      <c r="U93" s="32">
        <f t="shared" si="21"/>
        <v>9.101111111111111</v>
      </c>
      <c r="V93" s="2">
        <f t="shared" si="22"/>
        <v>9829.2</v>
      </c>
      <c r="W93" s="2">
        <f t="shared" si="23"/>
        <v>2293.48</v>
      </c>
      <c r="X93" s="2">
        <f t="shared" si="24"/>
        <v>21296.6</v>
      </c>
      <c r="Y93" s="2">
        <f t="shared" si="25"/>
        <v>1916.6939999999997</v>
      </c>
      <c r="Z93" s="2">
        <f t="shared" si="26"/>
        <v>511.11839999999995</v>
      </c>
      <c r="AA93" s="2">
        <f t="shared" si="27"/>
        <v>4721.2924</v>
      </c>
      <c r="AB93" s="2">
        <f t="shared" si="28"/>
        <v>26.229402222222223</v>
      </c>
    </row>
    <row r="94" spans="1:28" ht="15">
      <c r="A94" s="30" t="str">
        <f t="shared" si="15"/>
        <v>Heavy Disk27'</v>
      </c>
      <c r="B94" s="47" t="s">
        <v>124</v>
      </c>
      <c r="C94" s="47" t="s">
        <v>126</v>
      </c>
      <c r="D94" s="49">
        <v>27</v>
      </c>
      <c r="E94" s="3">
        <v>4.75</v>
      </c>
      <c r="F94" s="3">
        <v>0.85</v>
      </c>
      <c r="G94" s="84">
        <f t="shared" si="16"/>
        <v>0.07567939456484349</v>
      </c>
      <c r="H94" s="150">
        <v>35828</v>
      </c>
      <c r="I94" s="150">
        <v>30</v>
      </c>
      <c r="J94" s="150">
        <v>50</v>
      </c>
      <c r="K94" s="150">
        <v>10</v>
      </c>
      <c r="L94" s="150">
        <v>180</v>
      </c>
      <c r="M94" s="48">
        <v>0</v>
      </c>
      <c r="N94" s="34">
        <f t="shared" si="17"/>
        <v>1800</v>
      </c>
      <c r="O94" s="28">
        <v>1</v>
      </c>
      <c r="P94" s="41">
        <v>0.27</v>
      </c>
      <c r="Q94" s="41">
        <v>1.4</v>
      </c>
      <c r="R94" s="31">
        <f t="shared" si="18"/>
        <v>876.9358742719911</v>
      </c>
      <c r="S94" s="31">
        <f t="shared" si="19"/>
        <v>4.871865968177729</v>
      </c>
      <c r="T94" s="32">
        <f t="shared" si="20"/>
        <v>1791.4</v>
      </c>
      <c r="U94" s="32">
        <f t="shared" si="21"/>
        <v>9.952222222222222</v>
      </c>
      <c r="V94" s="2">
        <f t="shared" si="22"/>
        <v>10748.4</v>
      </c>
      <c r="W94" s="2">
        <f t="shared" si="23"/>
        <v>2507.96</v>
      </c>
      <c r="X94" s="2">
        <f t="shared" si="24"/>
        <v>23288.2</v>
      </c>
      <c r="Y94" s="2">
        <f t="shared" si="25"/>
        <v>2095.938</v>
      </c>
      <c r="Z94" s="2">
        <f t="shared" si="26"/>
        <v>558.9168000000001</v>
      </c>
      <c r="AA94" s="2">
        <f t="shared" si="27"/>
        <v>5162.8148</v>
      </c>
      <c r="AB94" s="2">
        <f t="shared" si="28"/>
        <v>28.682304444444444</v>
      </c>
    </row>
    <row r="95" spans="1:28" ht="15">
      <c r="A95" s="30" t="str">
        <f t="shared" si="15"/>
        <v>Land Plane40'x10'</v>
      </c>
      <c r="B95" s="47" t="s">
        <v>180</v>
      </c>
      <c r="C95" s="47" t="s">
        <v>181</v>
      </c>
      <c r="D95" s="49">
        <v>10</v>
      </c>
      <c r="E95" s="3">
        <v>4</v>
      </c>
      <c r="F95" s="3">
        <v>0.85</v>
      </c>
      <c r="G95" s="84">
        <f t="shared" si="16"/>
        <v>0.2426470588235294</v>
      </c>
      <c r="H95" s="150">
        <v>6020</v>
      </c>
      <c r="I95" s="150">
        <v>30</v>
      </c>
      <c r="J95" s="150">
        <v>40</v>
      </c>
      <c r="K95" s="150">
        <v>10</v>
      </c>
      <c r="L95" s="150">
        <v>200</v>
      </c>
      <c r="M95" s="48">
        <v>0</v>
      </c>
      <c r="N95" s="34">
        <f t="shared" si="17"/>
        <v>2000</v>
      </c>
      <c r="O95" s="28">
        <v>1</v>
      </c>
      <c r="P95" s="41">
        <v>0.27</v>
      </c>
      <c r="Q95" s="41">
        <v>1.4</v>
      </c>
      <c r="R95" s="31">
        <f t="shared" si="18"/>
        <v>170.76633173111537</v>
      </c>
      <c r="S95" s="31">
        <f t="shared" si="19"/>
        <v>0.8538316586555769</v>
      </c>
      <c r="T95" s="32">
        <f t="shared" si="20"/>
        <v>240.8</v>
      </c>
      <c r="U95" s="32">
        <f t="shared" si="21"/>
        <v>1.204</v>
      </c>
      <c r="V95" s="2">
        <f t="shared" si="22"/>
        <v>1806</v>
      </c>
      <c r="W95" s="2">
        <f t="shared" si="23"/>
        <v>421.4</v>
      </c>
      <c r="X95" s="2">
        <f t="shared" si="24"/>
        <v>3913</v>
      </c>
      <c r="Y95" s="2">
        <f t="shared" si="25"/>
        <v>352.16999999999996</v>
      </c>
      <c r="Z95" s="2">
        <f t="shared" si="26"/>
        <v>93.912</v>
      </c>
      <c r="AA95" s="2">
        <f t="shared" si="27"/>
        <v>867.482</v>
      </c>
      <c r="AB95" s="2">
        <f t="shared" si="28"/>
        <v>4.33741</v>
      </c>
    </row>
    <row r="96" spans="1:28" ht="15">
      <c r="A96" s="30" t="str">
        <f t="shared" si="15"/>
        <v>Land Plane50'x16'</v>
      </c>
      <c r="B96" s="47" t="s">
        <v>180</v>
      </c>
      <c r="C96" s="47" t="s">
        <v>182</v>
      </c>
      <c r="D96" s="49">
        <v>16</v>
      </c>
      <c r="E96" s="3">
        <v>4</v>
      </c>
      <c r="F96" s="3">
        <v>0.85</v>
      </c>
      <c r="G96" s="84">
        <f t="shared" si="16"/>
        <v>0.1516544117647059</v>
      </c>
      <c r="H96" s="150">
        <v>6701</v>
      </c>
      <c r="I96" s="150">
        <v>30</v>
      </c>
      <c r="J96" s="150">
        <v>40</v>
      </c>
      <c r="K96" s="150">
        <v>10</v>
      </c>
      <c r="L96" s="150">
        <v>200</v>
      </c>
      <c r="M96" s="48">
        <v>0</v>
      </c>
      <c r="N96" s="34">
        <f t="shared" si="17"/>
        <v>2000</v>
      </c>
      <c r="O96" s="28">
        <v>1</v>
      </c>
      <c r="P96" s="41">
        <v>0.27</v>
      </c>
      <c r="Q96" s="41">
        <v>1.4</v>
      </c>
      <c r="R96" s="31">
        <f t="shared" si="18"/>
        <v>190.0839184269442</v>
      </c>
      <c r="S96" s="31">
        <f t="shared" si="19"/>
        <v>0.9504195921347209</v>
      </c>
      <c r="T96" s="32">
        <f t="shared" si="20"/>
        <v>268.04</v>
      </c>
      <c r="U96" s="32">
        <f t="shared" si="21"/>
        <v>1.3402</v>
      </c>
      <c r="V96" s="2">
        <f t="shared" si="22"/>
        <v>2010.3</v>
      </c>
      <c r="W96" s="2">
        <f t="shared" si="23"/>
        <v>469.07</v>
      </c>
      <c r="X96" s="2">
        <f t="shared" si="24"/>
        <v>4355.65</v>
      </c>
      <c r="Y96" s="2">
        <f t="shared" si="25"/>
        <v>392.00849999999997</v>
      </c>
      <c r="Z96" s="2">
        <f t="shared" si="26"/>
        <v>104.53559999999999</v>
      </c>
      <c r="AA96" s="2">
        <f t="shared" si="27"/>
        <v>965.6141</v>
      </c>
      <c r="AB96" s="2">
        <f t="shared" si="28"/>
        <v>4.8280705</v>
      </c>
    </row>
    <row r="97" spans="1:28" ht="15">
      <c r="A97" s="30" t="str">
        <f t="shared" si="15"/>
        <v>Levee Splitter (1/802 blade</v>
      </c>
      <c r="B97" s="47" t="s">
        <v>183</v>
      </c>
      <c r="C97" s="47" t="s">
        <v>184</v>
      </c>
      <c r="D97" s="49"/>
      <c r="E97" s="3">
        <v>0</v>
      </c>
      <c r="F97" s="47"/>
      <c r="G97" s="84" t="e">
        <f t="shared" si="16"/>
        <v>#DIV/0!</v>
      </c>
      <c r="H97" s="150">
        <v>5211</v>
      </c>
      <c r="I97" s="150">
        <v>30</v>
      </c>
      <c r="J97" s="150">
        <v>5</v>
      </c>
      <c r="K97" s="150">
        <v>10</v>
      </c>
      <c r="L97" s="150">
        <v>50</v>
      </c>
      <c r="M97" s="48">
        <v>0</v>
      </c>
      <c r="N97" s="34">
        <f t="shared" si="17"/>
        <v>500</v>
      </c>
      <c r="O97" s="28">
        <v>1</v>
      </c>
      <c r="P97" s="41">
        <v>0.27</v>
      </c>
      <c r="Q97" s="41">
        <v>1.4</v>
      </c>
      <c r="R97" s="31">
        <f t="shared" si="18"/>
        <v>21.224762700572388</v>
      </c>
      <c r="S97" s="31">
        <f t="shared" si="19"/>
        <v>0.4244952540114478</v>
      </c>
      <c r="T97" s="32">
        <f t="shared" si="20"/>
        <v>26.055</v>
      </c>
      <c r="U97" s="32">
        <f t="shared" si="21"/>
        <v>0.5211</v>
      </c>
      <c r="V97" s="2">
        <f t="shared" si="22"/>
        <v>1563.3</v>
      </c>
      <c r="W97" s="2">
        <f t="shared" si="23"/>
        <v>364.77</v>
      </c>
      <c r="X97" s="2">
        <f t="shared" si="24"/>
        <v>3387.15</v>
      </c>
      <c r="Y97" s="2">
        <f t="shared" si="25"/>
        <v>304.8435</v>
      </c>
      <c r="Z97" s="2">
        <f t="shared" si="26"/>
        <v>81.2916</v>
      </c>
      <c r="AA97" s="2">
        <f t="shared" si="27"/>
        <v>750.9051</v>
      </c>
      <c r="AB97" s="2">
        <f t="shared" si="28"/>
        <v>15.018101999999999</v>
      </c>
    </row>
    <row r="98" spans="1:28" ht="15">
      <c r="A98" s="30" t="str">
        <f t="shared" si="15"/>
        <v>Lo-Till &amp; Bed4R-40</v>
      </c>
      <c r="B98" s="47" t="s">
        <v>127</v>
      </c>
      <c r="C98" s="47" t="s">
        <v>98</v>
      </c>
      <c r="D98" s="49">
        <v>13.3</v>
      </c>
      <c r="E98" s="3">
        <v>5.25</v>
      </c>
      <c r="F98" s="3">
        <v>0.85</v>
      </c>
      <c r="G98" s="84">
        <f t="shared" si="16"/>
        <v>0.13900296960889622</v>
      </c>
      <c r="H98" s="150">
        <v>5100</v>
      </c>
      <c r="I98" s="150">
        <v>25</v>
      </c>
      <c r="J98" s="150">
        <v>65</v>
      </c>
      <c r="K98" s="150">
        <v>12</v>
      </c>
      <c r="L98" s="150">
        <v>150</v>
      </c>
      <c r="M98" s="48">
        <v>0</v>
      </c>
      <c r="N98" s="34">
        <f t="shared" si="17"/>
        <v>1800</v>
      </c>
      <c r="O98" s="28">
        <v>1</v>
      </c>
      <c r="P98" s="41">
        <v>0.27</v>
      </c>
      <c r="Q98" s="41">
        <v>1.4</v>
      </c>
      <c r="R98" s="31">
        <f t="shared" si="18"/>
        <v>96.7078443735544</v>
      </c>
      <c r="S98" s="31">
        <f t="shared" si="19"/>
        <v>0.6447189624903626</v>
      </c>
      <c r="T98" s="32">
        <f t="shared" si="20"/>
        <v>276.25</v>
      </c>
      <c r="U98" s="32">
        <f t="shared" si="21"/>
        <v>1.8416666666666666</v>
      </c>
      <c r="V98" s="2">
        <f t="shared" si="22"/>
        <v>1275</v>
      </c>
      <c r="W98" s="2">
        <f t="shared" si="23"/>
        <v>318.75</v>
      </c>
      <c r="X98" s="2">
        <f t="shared" si="24"/>
        <v>3187.5</v>
      </c>
      <c r="Y98" s="2">
        <f t="shared" si="25"/>
        <v>286.875</v>
      </c>
      <c r="Z98" s="2">
        <f t="shared" si="26"/>
        <v>76.5</v>
      </c>
      <c r="AA98" s="2">
        <f t="shared" si="27"/>
        <v>682.125</v>
      </c>
      <c r="AB98" s="2">
        <f t="shared" si="28"/>
        <v>4.5475</v>
      </c>
    </row>
    <row r="99" spans="1:28" ht="15">
      <c r="A99" s="30" t="str">
        <f t="shared" si="15"/>
        <v>Middle Buster10R-30</v>
      </c>
      <c r="B99" s="47" t="s">
        <v>128</v>
      </c>
      <c r="C99" s="47" t="s">
        <v>103</v>
      </c>
      <c r="D99" s="49">
        <v>25</v>
      </c>
      <c r="E99" s="3">
        <v>4.25</v>
      </c>
      <c r="F99" s="3">
        <v>0.85</v>
      </c>
      <c r="G99" s="84">
        <f t="shared" si="16"/>
        <v>0.09134948096885813</v>
      </c>
      <c r="H99" s="150">
        <v>13727</v>
      </c>
      <c r="I99" s="150">
        <v>35</v>
      </c>
      <c r="J99" s="150">
        <v>30</v>
      </c>
      <c r="K99" s="150">
        <v>8</v>
      </c>
      <c r="L99" s="150">
        <v>160</v>
      </c>
      <c r="M99" s="48">
        <v>0</v>
      </c>
      <c r="N99" s="34">
        <f t="shared" si="17"/>
        <v>1280</v>
      </c>
      <c r="O99" s="28">
        <v>1</v>
      </c>
      <c r="P99" s="41">
        <v>0.27</v>
      </c>
      <c r="Q99" s="41">
        <v>1.4</v>
      </c>
      <c r="R99" s="31">
        <f t="shared" si="18"/>
        <v>284.90979061894654</v>
      </c>
      <c r="S99" s="31">
        <f t="shared" si="19"/>
        <v>1.780686191368416</v>
      </c>
      <c r="T99" s="32">
        <f t="shared" si="20"/>
        <v>514.7625</v>
      </c>
      <c r="U99" s="32">
        <f t="shared" si="21"/>
        <v>3.2172656250000005</v>
      </c>
      <c r="V99" s="2">
        <f t="shared" si="22"/>
        <v>4804.45</v>
      </c>
      <c r="W99" s="2">
        <f t="shared" si="23"/>
        <v>1115.31875</v>
      </c>
      <c r="X99" s="2">
        <f t="shared" si="24"/>
        <v>9265.725</v>
      </c>
      <c r="Y99" s="2">
        <f t="shared" si="25"/>
        <v>833.91525</v>
      </c>
      <c r="Z99" s="2">
        <f t="shared" si="26"/>
        <v>222.37740000000002</v>
      </c>
      <c r="AA99" s="2">
        <f t="shared" si="27"/>
        <v>2171.6114</v>
      </c>
      <c r="AB99" s="2">
        <f t="shared" si="28"/>
        <v>13.57257125</v>
      </c>
    </row>
    <row r="100" spans="1:28" ht="15">
      <c r="A100" s="30" t="str">
        <f t="shared" si="15"/>
        <v>Middle Buster10R-40</v>
      </c>
      <c r="B100" s="47" t="s">
        <v>128</v>
      </c>
      <c r="C100" s="47" t="s">
        <v>104</v>
      </c>
      <c r="D100" s="49">
        <v>33.3</v>
      </c>
      <c r="E100" s="3">
        <v>4.25</v>
      </c>
      <c r="F100" s="3">
        <v>0.85</v>
      </c>
      <c r="G100" s="84">
        <f t="shared" si="16"/>
        <v>0.06858069141806167</v>
      </c>
      <c r="H100" s="150">
        <v>14141</v>
      </c>
      <c r="I100" s="150">
        <v>35</v>
      </c>
      <c r="J100" s="150">
        <v>30</v>
      </c>
      <c r="K100" s="150">
        <v>8</v>
      </c>
      <c r="L100" s="150">
        <v>160</v>
      </c>
      <c r="M100" s="48">
        <v>0</v>
      </c>
      <c r="N100" s="34">
        <f t="shared" si="17"/>
        <v>1280</v>
      </c>
      <c r="O100" s="28">
        <v>1</v>
      </c>
      <c r="P100" s="41">
        <v>0.27</v>
      </c>
      <c r="Q100" s="41">
        <v>1.4</v>
      </c>
      <c r="R100" s="31">
        <f t="shared" si="18"/>
        <v>293.50253872969495</v>
      </c>
      <c r="S100" s="31">
        <f t="shared" si="19"/>
        <v>1.8343908670605935</v>
      </c>
      <c r="T100" s="32">
        <f t="shared" si="20"/>
        <v>530.2875</v>
      </c>
      <c r="U100" s="32">
        <f t="shared" si="21"/>
        <v>3.314296875</v>
      </c>
      <c r="V100" s="2">
        <f t="shared" si="22"/>
        <v>4949.35</v>
      </c>
      <c r="W100" s="2">
        <f t="shared" si="23"/>
        <v>1148.95625</v>
      </c>
      <c r="X100" s="2">
        <f t="shared" si="24"/>
        <v>9545.175</v>
      </c>
      <c r="Y100" s="2">
        <f t="shared" si="25"/>
        <v>859.0657499999999</v>
      </c>
      <c r="Z100" s="2">
        <f t="shared" si="26"/>
        <v>229.08419999999998</v>
      </c>
      <c r="AA100" s="2">
        <f t="shared" si="27"/>
        <v>2237.1061999999997</v>
      </c>
      <c r="AB100" s="2">
        <f t="shared" si="28"/>
        <v>13.981913749999999</v>
      </c>
    </row>
    <row r="101" spans="1:28" ht="15">
      <c r="A101" s="30" t="str">
        <f t="shared" si="15"/>
        <v>Middle Buster12R-40</v>
      </c>
      <c r="B101" s="47" t="s">
        <v>128</v>
      </c>
      <c r="C101" s="47" t="s">
        <v>114</v>
      </c>
      <c r="D101" s="49">
        <v>40</v>
      </c>
      <c r="E101" s="3">
        <v>4.25</v>
      </c>
      <c r="F101" s="3">
        <v>0.85</v>
      </c>
      <c r="G101" s="84">
        <f t="shared" si="16"/>
        <v>0.05709342560553633</v>
      </c>
      <c r="H101" s="150">
        <v>17946</v>
      </c>
      <c r="I101" s="150">
        <v>35</v>
      </c>
      <c r="J101" s="150">
        <v>30</v>
      </c>
      <c r="K101" s="150">
        <v>8</v>
      </c>
      <c r="L101" s="150">
        <v>160</v>
      </c>
      <c r="M101" s="48">
        <v>0</v>
      </c>
      <c r="N101" s="34">
        <f t="shared" si="17"/>
        <v>1280</v>
      </c>
      <c r="O101" s="28">
        <v>1</v>
      </c>
      <c r="P101" s="41">
        <v>0.27</v>
      </c>
      <c r="Q101" s="41">
        <v>1.4</v>
      </c>
      <c r="R101" s="31">
        <f t="shared" si="18"/>
        <v>372.47695071374767</v>
      </c>
      <c r="S101" s="31">
        <f t="shared" si="19"/>
        <v>2.3279809419609228</v>
      </c>
      <c r="T101" s="32">
        <f t="shared" si="20"/>
        <v>672.975</v>
      </c>
      <c r="U101" s="32">
        <f t="shared" si="21"/>
        <v>4.20609375</v>
      </c>
      <c r="V101" s="2">
        <f t="shared" si="22"/>
        <v>6281.1</v>
      </c>
      <c r="W101" s="2">
        <f t="shared" si="23"/>
        <v>1458.1125</v>
      </c>
      <c r="X101" s="2">
        <f t="shared" si="24"/>
        <v>12113.55</v>
      </c>
      <c r="Y101" s="2">
        <f t="shared" si="25"/>
        <v>1090.2195</v>
      </c>
      <c r="Z101" s="2">
        <f t="shared" si="26"/>
        <v>290.7252</v>
      </c>
      <c r="AA101" s="2">
        <f t="shared" si="27"/>
        <v>2839.0572</v>
      </c>
      <c r="AB101" s="2">
        <f t="shared" si="28"/>
        <v>17.744107500000002</v>
      </c>
    </row>
    <row r="102" spans="1:28" ht="15">
      <c r="A102" s="30" t="str">
        <f t="shared" si="15"/>
        <v>Middle Buster6R-40</v>
      </c>
      <c r="B102" s="47" t="s">
        <v>128</v>
      </c>
      <c r="C102" s="47" t="s">
        <v>100</v>
      </c>
      <c r="D102" s="49">
        <v>20</v>
      </c>
      <c r="E102" s="3">
        <v>4.25</v>
      </c>
      <c r="F102" s="3">
        <v>0.85</v>
      </c>
      <c r="G102" s="84">
        <f>1/((D102*E102*5280*F102)/43560)</f>
        <v>0.11418685121107267</v>
      </c>
      <c r="H102" s="150">
        <v>10672</v>
      </c>
      <c r="I102" s="150">
        <v>35</v>
      </c>
      <c r="J102" s="150">
        <v>30</v>
      </c>
      <c r="K102" s="150">
        <v>8</v>
      </c>
      <c r="L102" s="150">
        <v>160</v>
      </c>
      <c r="M102" s="48">
        <v>0</v>
      </c>
      <c r="N102" s="34">
        <f t="shared" si="17"/>
        <v>1280</v>
      </c>
      <c r="O102" s="28">
        <v>1</v>
      </c>
      <c r="P102" s="41">
        <v>0.27</v>
      </c>
      <c r="Q102" s="41">
        <v>1.4</v>
      </c>
      <c r="R102" s="31">
        <f t="shared" si="18"/>
        <v>221.50195129929315</v>
      </c>
      <c r="S102" s="31">
        <f t="shared" si="19"/>
        <v>1.3843871956205822</v>
      </c>
      <c r="T102" s="32">
        <f t="shared" si="20"/>
        <v>400.2</v>
      </c>
      <c r="U102" s="32">
        <f t="shared" si="21"/>
        <v>2.5012499999999998</v>
      </c>
      <c r="V102" s="2">
        <f t="shared" si="22"/>
        <v>3735.2</v>
      </c>
      <c r="W102" s="2">
        <f t="shared" si="23"/>
        <v>867.1</v>
      </c>
      <c r="X102" s="2">
        <f t="shared" si="24"/>
        <v>7203.6</v>
      </c>
      <c r="Y102" s="2">
        <f t="shared" si="25"/>
        <v>648.324</v>
      </c>
      <c r="Z102" s="2">
        <f t="shared" si="26"/>
        <v>172.8864</v>
      </c>
      <c r="AA102" s="2">
        <f t="shared" si="27"/>
        <v>1688.3103999999998</v>
      </c>
      <c r="AB102" s="2">
        <f t="shared" si="28"/>
        <v>10.551939999999998</v>
      </c>
    </row>
    <row r="103" spans="1:28" ht="15">
      <c r="A103" s="30" t="str">
        <f t="shared" si="15"/>
        <v>Middle Buster8R-30</v>
      </c>
      <c r="B103" s="47" t="s">
        <v>128</v>
      </c>
      <c r="C103" s="47" t="s">
        <v>101</v>
      </c>
      <c r="D103" s="49">
        <v>20</v>
      </c>
      <c r="E103" s="3">
        <v>4.25</v>
      </c>
      <c r="F103" s="3">
        <v>0.85</v>
      </c>
      <c r="G103" s="84">
        <f>1/((D103*E103*5280*F103)/43560)</f>
        <v>0.11418685121107267</v>
      </c>
      <c r="H103" s="150">
        <v>12780</v>
      </c>
      <c r="I103" s="150">
        <v>35</v>
      </c>
      <c r="J103" s="150">
        <v>30</v>
      </c>
      <c r="K103" s="150">
        <v>8</v>
      </c>
      <c r="L103" s="150">
        <v>160</v>
      </c>
      <c r="M103" s="48">
        <v>0</v>
      </c>
      <c r="N103" s="34">
        <f t="shared" si="17"/>
        <v>1280</v>
      </c>
      <c r="O103" s="28">
        <v>1</v>
      </c>
      <c r="P103" s="41">
        <v>0.27</v>
      </c>
      <c r="Q103" s="41">
        <v>1.4</v>
      </c>
      <c r="R103" s="31">
        <f t="shared" si="18"/>
        <v>265.25439820136495</v>
      </c>
      <c r="S103" s="31">
        <f t="shared" si="19"/>
        <v>1.657839988758531</v>
      </c>
      <c r="T103" s="32">
        <f t="shared" si="20"/>
        <v>479.25</v>
      </c>
      <c r="U103" s="32">
        <f t="shared" si="21"/>
        <v>2.9953125</v>
      </c>
      <c r="V103" s="2">
        <f t="shared" si="22"/>
        <v>4473</v>
      </c>
      <c r="W103" s="2">
        <f t="shared" si="23"/>
        <v>1038.375</v>
      </c>
      <c r="X103" s="2">
        <f t="shared" si="24"/>
        <v>8626.5</v>
      </c>
      <c r="Y103" s="2">
        <f t="shared" si="25"/>
        <v>776.385</v>
      </c>
      <c r="Z103" s="2">
        <f t="shared" si="26"/>
        <v>207.036</v>
      </c>
      <c r="AA103" s="2">
        <f t="shared" si="27"/>
        <v>2021.796</v>
      </c>
      <c r="AB103" s="2">
        <f t="shared" si="28"/>
        <v>12.636225</v>
      </c>
    </row>
    <row r="104" spans="1:28" ht="15">
      <c r="A104" s="30" t="str">
        <f t="shared" si="15"/>
        <v>Middle Buster8R-40</v>
      </c>
      <c r="B104" s="47" t="s">
        <v>128</v>
      </c>
      <c r="C104" s="47" t="s">
        <v>102</v>
      </c>
      <c r="D104" s="49">
        <v>26.7</v>
      </c>
      <c r="E104" s="3">
        <v>4.25</v>
      </c>
      <c r="F104" s="3">
        <v>0.85</v>
      </c>
      <c r="G104" s="84">
        <f>1/((D104*E104*5280*F104)/43560)</f>
        <v>0.0855332218809533</v>
      </c>
      <c r="H104" s="150">
        <v>11484</v>
      </c>
      <c r="I104" s="150">
        <v>35</v>
      </c>
      <c r="J104" s="150">
        <v>30</v>
      </c>
      <c r="K104" s="150">
        <v>8</v>
      </c>
      <c r="L104" s="150">
        <v>160</v>
      </c>
      <c r="M104" s="48">
        <v>0</v>
      </c>
      <c r="N104" s="34">
        <f t="shared" si="17"/>
        <v>1280</v>
      </c>
      <c r="O104" s="28">
        <v>1</v>
      </c>
      <c r="P104" s="41">
        <v>0.27</v>
      </c>
      <c r="Q104" s="41">
        <v>1.4</v>
      </c>
      <c r="R104" s="31">
        <f t="shared" si="18"/>
        <v>238.35536063728287</v>
      </c>
      <c r="S104" s="31">
        <f t="shared" si="19"/>
        <v>1.489721003983018</v>
      </c>
      <c r="T104" s="32">
        <f t="shared" si="20"/>
        <v>430.65</v>
      </c>
      <c r="U104" s="32">
        <f t="shared" si="21"/>
        <v>2.6915625</v>
      </c>
      <c r="V104" s="2">
        <f t="shared" si="22"/>
        <v>4019.4</v>
      </c>
      <c r="W104" s="2">
        <f t="shared" si="23"/>
        <v>933.075</v>
      </c>
      <c r="X104" s="2">
        <f t="shared" si="24"/>
        <v>7751.7</v>
      </c>
      <c r="Y104" s="2">
        <f t="shared" si="25"/>
        <v>697.6529999999999</v>
      </c>
      <c r="Z104" s="2">
        <f t="shared" si="26"/>
        <v>186.0408</v>
      </c>
      <c r="AA104" s="2">
        <f t="shared" si="27"/>
        <v>1816.7687999999998</v>
      </c>
      <c r="AB104" s="2">
        <f t="shared" si="28"/>
        <v>11.354804999999999</v>
      </c>
    </row>
    <row r="105" spans="1:28" ht="15">
      <c r="A105" s="30" t="str">
        <f t="shared" si="15"/>
        <v>Middle Buster8R-40 2x1</v>
      </c>
      <c r="B105" s="47" t="s">
        <v>128</v>
      </c>
      <c r="C105" s="47" t="s">
        <v>113</v>
      </c>
      <c r="D105" s="49">
        <v>40</v>
      </c>
      <c r="E105" s="3">
        <v>4.25</v>
      </c>
      <c r="F105" s="3">
        <v>0.85</v>
      </c>
      <c r="G105" s="84">
        <f>1/((D105*E105*5280*F105)/43560)</f>
        <v>0.05709342560553633</v>
      </c>
      <c r="H105" s="150">
        <v>17946</v>
      </c>
      <c r="I105" s="150">
        <v>35</v>
      </c>
      <c r="J105" s="150">
        <v>30</v>
      </c>
      <c r="K105" s="150">
        <v>8</v>
      </c>
      <c r="L105" s="150">
        <v>160</v>
      </c>
      <c r="M105" s="48">
        <v>0</v>
      </c>
      <c r="N105" s="34">
        <f t="shared" si="17"/>
        <v>1280</v>
      </c>
      <c r="O105" s="28">
        <v>1</v>
      </c>
      <c r="P105" s="41">
        <v>0.27</v>
      </c>
      <c r="Q105" s="41">
        <v>1.4</v>
      </c>
      <c r="R105" s="31">
        <f t="shared" si="18"/>
        <v>372.47695071374767</v>
      </c>
      <c r="S105" s="31">
        <f t="shared" si="19"/>
        <v>2.3279809419609228</v>
      </c>
      <c r="T105" s="32">
        <f t="shared" si="20"/>
        <v>672.975</v>
      </c>
      <c r="U105" s="32">
        <f t="shared" si="21"/>
        <v>4.20609375</v>
      </c>
      <c r="V105" s="2">
        <f t="shared" si="22"/>
        <v>6281.1</v>
      </c>
      <c r="W105" s="2">
        <f t="shared" si="23"/>
        <v>1458.1125</v>
      </c>
      <c r="X105" s="2">
        <f t="shared" si="24"/>
        <v>12113.55</v>
      </c>
      <c r="Y105" s="2">
        <f t="shared" si="25"/>
        <v>1090.2195</v>
      </c>
      <c r="Z105" s="2">
        <f t="shared" si="26"/>
        <v>290.7252</v>
      </c>
      <c r="AA105" s="2">
        <f t="shared" si="27"/>
        <v>2839.0572</v>
      </c>
      <c r="AB105" s="2">
        <f t="shared" si="28"/>
        <v>17.744107500000002</v>
      </c>
    </row>
    <row r="106" spans="1:28" ht="15">
      <c r="A106" s="30" t="str">
        <f t="shared" si="15"/>
        <v>Module Builder-1st4R40255</v>
      </c>
      <c r="B106" s="47" t="s">
        <v>185</v>
      </c>
      <c r="C106" s="47" t="s">
        <v>186</v>
      </c>
      <c r="D106" s="49">
        <v>0</v>
      </c>
      <c r="E106" s="3">
        <v>0</v>
      </c>
      <c r="F106" s="47">
        <v>0</v>
      </c>
      <c r="G106" s="84"/>
      <c r="H106" s="150">
        <v>33700</v>
      </c>
      <c r="I106" s="150">
        <v>35</v>
      </c>
      <c r="J106" s="150">
        <v>50</v>
      </c>
      <c r="K106" s="150">
        <v>10</v>
      </c>
      <c r="L106" s="150">
        <v>200</v>
      </c>
      <c r="M106" s="48">
        <v>0</v>
      </c>
      <c r="N106" s="34">
        <f t="shared" si="17"/>
        <v>2000</v>
      </c>
      <c r="O106" s="28">
        <v>1</v>
      </c>
      <c r="P106" s="41">
        <v>0.27</v>
      </c>
      <c r="Q106" s="41">
        <v>1.4</v>
      </c>
      <c r="R106" s="31">
        <f t="shared" si="18"/>
        <v>955.9510596907952</v>
      </c>
      <c r="S106" s="31">
        <f t="shared" si="19"/>
        <v>4.779755298453976</v>
      </c>
      <c r="T106" s="32">
        <f t="shared" si="20"/>
        <v>1685</v>
      </c>
      <c r="U106" s="32">
        <f t="shared" si="21"/>
        <v>8.425</v>
      </c>
      <c r="V106" s="2">
        <f t="shared" si="22"/>
        <v>11795</v>
      </c>
      <c r="W106" s="2">
        <f t="shared" si="23"/>
        <v>2190.5</v>
      </c>
      <c r="X106" s="2">
        <f t="shared" si="24"/>
        <v>22747.5</v>
      </c>
      <c r="Y106" s="2">
        <f t="shared" si="25"/>
        <v>2047.2749999999999</v>
      </c>
      <c r="Z106" s="2">
        <f t="shared" si="26"/>
        <v>545.94</v>
      </c>
      <c r="AA106" s="2">
        <f t="shared" si="27"/>
        <v>4783.715</v>
      </c>
      <c r="AB106" s="2">
        <f t="shared" si="28"/>
        <v>23.918575</v>
      </c>
    </row>
    <row r="107" spans="1:28" ht="15">
      <c r="A107" s="145" t="str">
        <f t="shared" si="15"/>
        <v>Mulcher Plow30'</v>
      </c>
      <c r="B107" s="140" t="s">
        <v>201</v>
      </c>
      <c r="C107" s="140" t="s">
        <v>119</v>
      </c>
      <c r="D107" s="146">
        <v>30</v>
      </c>
      <c r="E107" s="143">
        <v>4.75</v>
      </c>
      <c r="F107" s="143">
        <v>0.85</v>
      </c>
      <c r="G107" s="147">
        <f aca="true" t="shared" si="29" ref="G107:G138">1/((D107*E107*5280*F107)/43560)</f>
        <v>0.06811145510835913</v>
      </c>
      <c r="H107" s="140"/>
      <c r="I107" s="150">
        <v>30</v>
      </c>
      <c r="J107" s="150">
        <v>25</v>
      </c>
      <c r="K107" s="150">
        <v>10</v>
      </c>
      <c r="L107" s="150">
        <v>100</v>
      </c>
      <c r="M107" s="48">
        <v>0</v>
      </c>
      <c r="N107" s="34">
        <f t="shared" si="17"/>
        <v>1000</v>
      </c>
      <c r="O107" s="28">
        <v>1</v>
      </c>
      <c r="P107" s="41">
        <v>0.27</v>
      </c>
      <c r="Q107" s="41">
        <v>1.4</v>
      </c>
      <c r="R107" s="31">
        <f t="shared" si="18"/>
        <v>0</v>
      </c>
      <c r="S107" s="31">
        <f t="shared" si="19"/>
        <v>0</v>
      </c>
      <c r="T107" s="32">
        <f t="shared" si="20"/>
        <v>0</v>
      </c>
      <c r="U107" s="32">
        <f t="shared" si="21"/>
        <v>0</v>
      </c>
      <c r="V107" s="2">
        <f t="shared" si="22"/>
        <v>0</v>
      </c>
      <c r="W107" s="2">
        <f t="shared" si="23"/>
        <v>0</v>
      </c>
      <c r="X107" s="2">
        <f t="shared" si="24"/>
        <v>0</v>
      </c>
      <c r="Y107" s="2">
        <f t="shared" si="25"/>
        <v>0</v>
      </c>
      <c r="Z107" s="2">
        <f t="shared" si="26"/>
        <v>0</v>
      </c>
      <c r="AA107" s="2">
        <f t="shared" si="27"/>
        <v>0</v>
      </c>
      <c r="AB107" s="2">
        <f t="shared" si="28"/>
        <v>0</v>
      </c>
    </row>
    <row r="108" spans="1:28" ht="15">
      <c r="A108" s="30" t="str">
        <f t="shared" si="15"/>
        <v>NT Grain Drill &amp; Pre12'</v>
      </c>
      <c r="B108" s="47" t="s">
        <v>230</v>
      </c>
      <c r="C108" s="47" t="s">
        <v>92</v>
      </c>
      <c r="D108" s="49">
        <v>12</v>
      </c>
      <c r="E108" s="3">
        <v>6</v>
      </c>
      <c r="F108" s="3">
        <v>0.7</v>
      </c>
      <c r="G108" s="84">
        <f t="shared" si="29"/>
        <v>0.1636904761904762</v>
      </c>
      <c r="H108" s="150">
        <v>33456</v>
      </c>
      <c r="I108" s="150">
        <v>45</v>
      </c>
      <c r="J108" s="150">
        <v>45</v>
      </c>
      <c r="K108" s="150">
        <v>8</v>
      </c>
      <c r="L108" s="150">
        <v>150</v>
      </c>
      <c r="M108" s="48">
        <v>0</v>
      </c>
      <c r="N108" s="34">
        <f t="shared" si="17"/>
        <v>1200</v>
      </c>
      <c r="O108" s="28">
        <v>1</v>
      </c>
      <c r="P108" s="41">
        <v>0.27</v>
      </c>
      <c r="Q108" s="41">
        <v>1.4</v>
      </c>
      <c r="R108" s="31">
        <f t="shared" si="18"/>
        <v>634.4034590905169</v>
      </c>
      <c r="S108" s="31">
        <f t="shared" si="19"/>
        <v>4.229356393936779</v>
      </c>
      <c r="T108" s="32">
        <f t="shared" si="20"/>
        <v>1881.9</v>
      </c>
      <c r="U108" s="32">
        <f t="shared" si="21"/>
        <v>12.546000000000001</v>
      </c>
      <c r="V108" s="2">
        <f t="shared" si="22"/>
        <v>15055.2</v>
      </c>
      <c r="W108" s="2">
        <f t="shared" si="23"/>
        <v>2300.1</v>
      </c>
      <c r="X108" s="2">
        <f t="shared" si="24"/>
        <v>24255.6</v>
      </c>
      <c r="Y108" s="2">
        <f t="shared" si="25"/>
        <v>2183.004</v>
      </c>
      <c r="Z108" s="2">
        <f t="shared" si="26"/>
        <v>582.1344</v>
      </c>
      <c r="AA108" s="2">
        <f t="shared" si="27"/>
        <v>5065.2384</v>
      </c>
      <c r="AB108" s="2">
        <f t="shared" si="28"/>
        <v>33.768256</v>
      </c>
    </row>
    <row r="109" spans="1:28" ht="15">
      <c r="A109" s="30" t="str">
        <f t="shared" si="15"/>
        <v>NT Grain Drill &amp; Pre15'</v>
      </c>
      <c r="B109" s="47" t="s">
        <v>230</v>
      </c>
      <c r="C109" s="47" t="s">
        <v>120</v>
      </c>
      <c r="D109" s="49">
        <v>15</v>
      </c>
      <c r="E109" s="3">
        <v>6</v>
      </c>
      <c r="F109" s="3">
        <v>0.7</v>
      </c>
      <c r="G109" s="84">
        <f t="shared" si="29"/>
        <v>0.13095238095238096</v>
      </c>
      <c r="H109" s="150">
        <v>39706</v>
      </c>
      <c r="I109" s="150">
        <v>45</v>
      </c>
      <c r="J109" s="150">
        <v>45</v>
      </c>
      <c r="K109" s="150">
        <v>8</v>
      </c>
      <c r="L109" s="150">
        <v>150</v>
      </c>
      <c r="M109" s="48">
        <v>0</v>
      </c>
      <c r="N109" s="34">
        <f t="shared" si="17"/>
        <v>1200</v>
      </c>
      <c r="O109" s="28">
        <v>1</v>
      </c>
      <c r="P109" s="41">
        <v>0.27</v>
      </c>
      <c r="Q109" s="41">
        <v>1.4</v>
      </c>
      <c r="R109" s="31">
        <f t="shared" si="18"/>
        <v>752.9179742541864</v>
      </c>
      <c r="S109" s="31">
        <f t="shared" si="19"/>
        <v>5.019453161694576</v>
      </c>
      <c r="T109" s="32">
        <f t="shared" si="20"/>
        <v>2233.4625</v>
      </c>
      <c r="U109" s="32">
        <f t="shared" si="21"/>
        <v>14.889750000000001</v>
      </c>
      <c r="V109" s="2">
        <f t="shared" si="22"/>
        <v>17867.7</v>
      </c>
      <c r="W109" s="2">
        <f t="shared" si="23"/>
        <v>2729.7875</v>
      </c>
      <c r="X109" s="2">
        <f t="shared" si="24"/>
        <v>28786.85</v>
      </c>
      <c r="Y109" s="2">
        <f t="shared" si="25"/>
        <v>2590.8165</v>
      </c>
      <c r="Z109" s="2">
        <f t="shared" si="26"/>
        <v>690.8844</v>
      </c>
      <c r="AA109" s="2">
        <f t="shared" si="27"/>
        <v>6011.4884</v>
      </c>
      <c r="AB109" s="2">
        <f t="shared" si="28"/>
        <v>40.07658933333334</v>
      </c>
    </row>
    <row r="110" spans="1:28" ht="15">
      <c r="A110" s="30" t="str">
        <f t="shared" si="15"/>
        <v>NT Grain Drill &amp; Pre20'</v>
      </c>
      <c r="B110" s="47" t="s">
        <v>230</v>
      </c>
      <c r="C110" s="47" t="s">
        <v>107</v>
      </c>
      <c r="D110" s="49">
        <v>20</v>
      </c>
      <c r="E110" s="3">
        <v>6</v>
      </c>
      <c r="F110" s="3">
        <v>0.7</v>
      </c>
      <c r="G110" s="84">
        <f t="shared" si="29"/>
        <v>0.09821428571428571</v>
      </c>
      <c r="H110" s="150">
        <v>51141</v>
      </c>
      <c r="I110" s="150">
        <v>45</v>
      </c>
      <c r="J110" s="150">
        <v>45</v>
      </c>
      <c r="K110" s="150">
        <v>8</v>
      </c>
      <c r="L110" s="150">
        <v>150</v>
      </c>
      <c r="M110" s="48">
        <v>0</v>
      </c>
      <c r="N110" s="34">
        <f t="shared" si="17"/>
        <v>1200</v>
      </c>
      <c r="O110" s="28">
        <v>1</v>
      </c>
      <c r="P110" s="41">
        <v>0.27</v>
      </c>
      <c r="Q110" s="41">
        <v>1.4</v>
      </c>
      <c r="R110" s="31">
        <f t="shared" si="18"/>
        <v>969.7521311976363</v>
      </c>
      <c r="S110" s="31">
        <f t="shared" si="19"/>
        <v>6.465014207984242</v>
      </c>
      <c r="T110" s="32">
        <f t="shared" si="20"/>
        <v>2876.68125</v>
      </c>
      <c r="U110" s="32">
        <f t="shared" si="21"/>
        <v>19.177875</v>
      </c>
      <c r="V110" s="2">
        <f t="shared" si="22"/>
        <v>23013.45</v>
      </c>
      <c r="W110" s="2">
        <f t="shared" si="23"/>
        <v>3515.94375</v>
      </c>
      <c r="X110" s="2">
        <f t="shared" si="24"/>
        <v>37077.225</v>
      </c>
      <c r="Y110" s="2">
        <f t="shared" si="25"/>
        <v>3336.95025</v>
      </c>
      <c r="Z110" s="2">
        <f t="shared" si="26"/>
        <v>889.8534</v>
      </c>
      <c r="AA110" s="2">
        <f t="shared" si="27"/>
        <v>7742.7474</v>
      </c>
      <c r="AB110" s="2">
        <f t="shared" si="28"/>
        <v>51.618316</v>
      </c>
    </row>
    <row r="111" spans="1:28" ht="15">
      <c r="A111" s="30" t="str">
        <f t="shared" si="15"/>
        <v>NT Grain Drill &amp; Pre24'</v>
      </c>
      <c r="B111" s="47" t="s">
        <v>230</v>
      </c>
      <c r="C111" s="47" t="s">
        <v>94</v>
      </c>
      <c r="D111" s="49">
        <v>24</v>
      </c>
      <c r="E111" s="3">
        <v>6</v>
      </c>
      <c r="F111" s="3">
        <v>0.7</v>
      </c>
      <c r="G111" s="84">
        <f t="shared" si="29"/>
        <v>0.0818452380952381</v>
      </c>
      <c r="H111" s="150">
        <v>71110</v>
      </c>
      <c r="I111" s="150">
        <v>45</v>
      </c>
      <c r="J111" s="150">
        <v>45</v>
      </c>
      <c r="K111" s="150">
        <v>8</v>
      </c>
      <c r="L111" s="150">
        <v>150</v>
      </c>
      <c r="M111" s="48">
        <v>0</v>
      </c>
      <c r="N111" s="34">
        <f t="shared" si="17"/>
        <v>1200</v>
      </c>
      <c r="O111" s="28">
        <v>1</v>
      </c>
      <c r="P111" s="41">
        <v>0.27</v>
      </c>
      <c r="Q111" s="41">
        <v>1.4</v>
      </c>
      <c r="R111" s="31">
        <f t="shared" si="18"/>
        <v>1348.4107477261673</v>
      </c>
      <c r="S111" s="31">
        <f t="shared" si="19"/>
        <v>8.989404984841116</v>
      </c>
      <c r="T111" s="32">
        <f t="shared" si="20"/>
        <v>3999.9375</v>
      </c>
      <c r="U111" s="32">
        <f t="shared" si="21"/>
        <v>26.66625</v>
      </c>
      <c r="V111" s="2">
        <f t="shared" si="22"/>
        <v>31999.5</v>
      </c>
      <c r="W111" s="2">
        <f t="shared" si="23"/>
        <v>4888.8125</v>
      </c>
      <c r="X111" s="2">
        <f t="shared" si="24"/>
        <v>51554.75</v>
      </c>
      <c r="Y111" s="2">
        <f t="shared" si="25"/>
        <v>4639.9275</v>
      </c>
      <c r="Z111" s="2">
        <f t="shared" si="26"/>
        <v>1237.314</v>
      </c>
      <c r="AA111" s="2">
        <f t="shared" si="27"/>
        <v>10766.054</v>
      </c>
      <c r="AB111" s="2">
        <f t="shared" si="28"/>
        <v>71.77369333333333</v>
      </c>
    </row>
    <row r="112" spans="1:28" ht="15">
      <c r="A112" s="30" t="str">
        <f t="shared" si="15"/>
        <v>NT Grain Drill &amp; Pre30'</v>
      </c>
      <c r="B112" s="47" t="s">
        <v>230</v>
      </c>
      <c r="C112" s="47" t="s">
        <v>119</v>
      </c>
      <c r="D112" s="49">
        <v>30</v>
      </c>
      <c r="E112" s="3">
        <v>6</v>
      </c>
      <c r="F112" s="3">
        <v>0.7</v>
      </c>
      <c r="G112" s="84">
        <f t="shared" si="29"/>
        <v>0.06547619047619048</v>
      </c>
      <c r="H112" s="150">
        <v>75025</v>
      </c>
      <c r="I112" s="150">
        <v>45</v>
      </c>
      <c r="J112" s="150">
        <v>45</v>
      </c>
      <c r="K112" s="150">
        <v>8</v>
      </c>
      <c r="L112" s="150">
        <v>150</v>
      </c>
      <c r="M112" s="48">
        <v>0</v>
      </c>
      <c r="N112" s="34">
        <f t="shared" si="17"/>
        <v>1200</v>
      </c>
      <c r="O112" s="28">
        <v>1</v>
      </c>
      <c r="P112" s="41">
        <v>0.27</v>
      </c>
      <c r="Q112" s="41">
        <v>1.4</v>
      </c>
      <c r="R112" s="31">
        <f t="shared" si="18"/>
        <v>1422.6482400246898</v>
      </c>
      <c r="S112" s="31">
        <f t="shared" si="19"/>
        <v>9.484321600164598</v>
      </c>
      <c r="T112" s="32">
        <f t="shared" si="20"/>
        <v>4220.15625</v>
      </c>
      <c r="U112" s="32">
        <f t="shared" si="21"/>
        <v>28.134375</v>
      </c>
      <c r="V112" s="2">
        <f t="shared" si="22"/>
        <v>33761.25</v>
      </c>
      <c r="W112" s="2">
        <f t="shared" si="23"/>
        <v>5157.96875</v>
      </c>
      <c r="X112" s="2">
        <f t="shared" si="24"/>
        <v>54393.125</v>
      </c>
      <c r="Y112" s="2">
        <f t="shared" si="25"/>
        <v>4895.381249999999</v>
      </c>
      <c r="Z112" s="2">
        <f t="shared" si="26"/>
        <v>1305.435</v>
      </c>
      <c r="AA112" s="2">
        <f t="shared" si="27"/>
        <v>11358.785</v>
      </c>
      <c r="AB112" s="2">
        <f t="shared" si="28"/>
        <v>75.72523333333334</v>
      </c>
    </row>
    <row r="113" spans="1:28" ht="15">
      <c r="A113" s="30" t="str">
        <f t="shared" si="15"/>
        <v>NT Grain Drill12'</v>
      </c>
      <c r="B113" s="47" t="s">
        <v>187</v>
      </c>
      <c r="C113" s="47" t="s">
        <v>92</v>
      </c>
      <c r="D113" s="49">
        <v>12</v>
      </c>
      <c r="E113" s="3">
        <v>5</v>
      </c>
      <c r="F113" s="3">
        <v>0.7</v>
      </c>
      <c r="G113" s="84">
        <f t="shared" si="29"/>
        <v>0.19642857142857142</v>
      </c>
      <c r="H113" s="150">
        <v>28087</v>
      </c>
      <c r="I113" s="150">
        <v>45</v>
      </c>
      <c r="J113" s="150">
        <v>45</v>
      </c>
      <c r="K113" s="150">
        <v>8</v>
      </c>
      <c r="L113" s="150">
        <v>150</v>
      </c>
      <c r="M113" s="48">
        <v>0</v>
      </c>
      <c r="N113" s="34">
        <f t="shared" si="17"/>
        <v>1200</v>
      </c>
      <c r="O113" s="28">
        <v>1</v>
      </c>
      <c r="P113" s="41">
        <v>0.27</v>
      </c>
      <c r="Q113" s="41">
        <v>1.4</v>
      </c>
      <c r="R113" s="31">
        <f t="shared" si="18"/>
        <v>532.5947499843181</v>
      </c>
      <c r="S113" s="31">
        <f t="shared" si="19"/>
        <v>3.5506316665621207</v>
      </c>
      <c r="T113" s="32">
        <f t="shared" si="20"/>
        <v>1579.89375</v>
      </c>
      <c r="U113" s="32">
        <f t="shared" si="21"/>
        <v>10.532625</v>
      </c>
      <c r="V113" s="2">
        <f t="shared" si="22"/>
        <v>12639.15</v>
      </c>
      <c r="W113" s="2">
        <f t="shared" si="23"/>
        <v>1930.98125</v>
      </c>
      <c r="X113" s="2">
        <f t="shared" si="24"/>
        <v>20363.075</v>
      </c>
      <c r="Y113" s="2">
        <f t="shared" si="25"/>
        <v>1832.67675</v>
      </c>
      <c r="Z113" s="2">
        <f t="shared" si="26"/>
        <v>488.71380000000005</v>
      </c>
      <c r="AA113" s="2">
        <f t="shared" si="27"/>
        <v>4252.3718</v>
      </c>
      <c r="AB113" s="2">
        <f t="shared" si="28"/>
        <v>28.349145333333333</v>
      </c>
    </row>
    <row r="114" spans="1:28" ht="15">
      <c r="A114" s="30" t="str">
        <f t="shared" si="15"/>
        <v>NT Grain Drill15'</v>
      </c>
      <c r="B114" s="47" t="s">
        <v>187</v>
      </c>
      <c r="C114" s="47" t="s">
        <v>120</v>
      </c>
      <c r="D114" s="49">
        <v>15</v>
      </c>
      <c r="E114" s="3">
        <v>5</v>
      </c>
      <c r="F114" s="3">
        <v>0.7</v>
      </c>
      <c r="G114" s="84">
        <f t="shared" si="29"/>
        <v>0.15714285714285714</v>
      </c>
      <c r="H114" s="150">
        <v>34336</v>
      </c>
      <c r="I114" s="150">
        <v>45</v>
      </c>
      <c r="J114" s="150">
        <v>45</v>
      </c>
      <c r="K114" s="150">
        <v>8</v>
      </c>
      <c r="L114" s="150">
        <v>150</v>
      </c>
      <c r="M114" s="48">
        <v>0</v>
      </c>
      <c r="N114" s="34">
        <f t="shared" si="17"/>
        <v>1200</v>
      </c>
      <c r="O114" s="28">
        <v>1</v>
      </c>
      <c r="P114" s="41">
        <v>0.27</v>
      </c>
      <c r="Q114" s="41">
        <v>1.4</v>
      </c>
      <c r="R114" s="31">
        <f t="shared" si="18"/>
        <v>651.0903028255616</v>
      </c>
      <c r="S114" s="31">
        <f t="shared" si="19"/>
        <v>4.340602018837077</v>
      </c>
      <c r="T114" s="32">
        <f t="shared" si="20"/>
        <v>1931.4</v>
      </c>
      <c r="U114" s="32">
        <f t="shared" si="21"/>
        <v>12.876000000000001</v>
      </c>
      <c r="V114" s="2">
        <f t="shared" si="22"/>
        <v>15451.2</v>
      </c>
      <c r="W114" s="2">
        <f t="shared" si="23"/>
        <v>2360.6</v>
      </c>
      <c r="X114" s="2">
        <f t="shared" si="24"/>
        <v>24893.6</v>
      </c>
      <c r="Y114" s="2">
        <f t="shared" si="25"/>
        <v>2240.424</v>
      </c>
      <c r="Z114" s="2">
        <f t="shared" si="26"/>
        <v>597.4463999999999</v>
      </c>
      <c r="AA114" s="2">
        <f t="shared" si="27"/>
        <v>5198.4704</v>
      </c>
      <c r="AB114" s="2">
        <f t="shared" si="28"/>
        <v>34.656469333333334</v>
      </c>
    </row>
    <row r="115" spans="1:28" ht="15">
      <c r="A115" s="30" t="str">
        <f t="shared" si="15"/>
        <v>NT Grain Drill20'</v>
      </c>
      <c r="B115" s="47" t="s">
        <v>187</v>
      </c>
      <c r="C115" s="47" t="s">
        <v>107</v>
      </c>
      <c r="D115" s="49">
        <v>20</v>
      </c>
      <c r="E115" s="3">
        <v>5</v>
      </c>
      <c r="F115" s="3">
        <v>0.7</v>
      </c>
      <c r="G115" s="84">
        <f t="shared" si="29"/>
        <v>0.11785714285714287</v>
      </c>
      <c r="H115" s="150">
        <v>45772</v>
      </c>
      <c r="I115" s="150">
        <v>45</v>
      </c>
      <c r="J115" s="150">
        <v>45</v>
      </c>
      <c r="K115" s="150">
        <v>8</v>
      </c>
      <c r="L115" s="150">
        <v>150</v>
      </c>
      <c r="M115" s="48">
        <v>0</v>
      </c>
      <c r="N115" s="34">
        <f t="shared" si="17"/>
        <v>1200</v>
      </c>
      <c r="O115" s="28">
        <v>1</v>
      </c>
      <c r="P115" s="41">
        <v>0.27</v>
      </c>
      <c r="Q115" s="41">
        <v>1.4</v>
      </c>
      <c r="R115" s="31">
        <f t="shared" si="18"/>
        <v>867.9434220914376</v>
      </c>
      <c r="S115" s="31">
        <f t="shared" si="19"/>
        <v>5.786289480609584</v>
      </c>
      <c r="T115" s="32">
        <f t="shared" si="20"/>
        <v>2574.675</v>
      </c>
      <c r="U115" s="32">
        <f t="shared" si="21"/>
        <v>17.1645</v>
      </c>
      <c r="V115" s="2">
        <f t="shared" si="22"/>
        <v>20597.4</v>
      </c>
      <c r="W115" s="2">
        <f t="shared" si="23"/>
        <v>3146.825</v>
      </c>
      <c r="X115" s="2">
        <f t="shared" si="24"/>
        <v>33184.7</v>
      </c>
      <c r="Y115" s="2">
        <f t="shared" si="25"/>
        <v>2986.6229999999996</v>
      </c>
      <c r="Z115" s="2">
        <f t="shared" si="26"/>
        <v>796.4327999999999</v>
      </c>
      <c r="AA115" s="2">
        <f t="shared" si="27"/>
        <v>6929.880799999999</v>
      </c>
      <c r="AB115" s="2">
        <f t="shared" si="28"/>
        <v>46.199205333333325</v>
      </c>
    </row>
    <row r="116" spans="1:28" ht="15">
      <c r="A116" s="30" t="str">
        <f t="shared" si="15"/>
        <v>NT Grain Drill24'</v>
      </c>
      <c r="B116" s="47" t="s">
        <v>187</v>
      </c>
      <c r="C116" s="47" t="s">
        <v>94</v>
      </c>
      <c r="D116" s="49">
        <v>24</v>
      </c>
      <c r="E116" s="3">
        <v>5</v>
      </c>
      <c r="F116" s="3">
        <v>0.7</v>
      </c>
      <c r="G116" s="84">
        <f t="shared" si="29"/>
        <v>0.09821428571428571</v>
      </c>
      <c r="H116" s="150">
        <v>65741</v>
      </c>
      <c r="I116" s="150">
        <v>45</v>
      </c>
      <c r="J116" s="150">
        <v>45</v>
      </c>
      <c r="K116" s="150">
        <v>8</v>
      </c>
      <c r="L116" s="150">
        <v>150</v>
      </c>
      <c r="M116" s="48">
        <v>0</v>
      </c>
      <c r="N116" s="34">
        <f t="shared" si="17"/>
        <v>1200</v>
      </c>
      <c r="O116" s="28">
        <v>1</v>
      </c>
      <c r="P116" s="41">
        <v>0.27</v>
      </c>
      <c r="Q116" s="41">
        <v>1.4</v>
      </c>
      <c r="R116" s="31">
        <f t="shared" si="18"/>
        <v>1246.6020386199684</v>
      </c>
      <c r="S116" s="31">
        <f t="shared" si="19"/>
        <v>8.310680257466457</v>
      </c>
      <c r="T116" s="32">
        <f t="shared" si="20"/>
        <v>3697.93125</v>
      </c>
      <c r="U116" s="32">
        <f t="shared" si="21"/>
        <v>24.652875</v>
      </c>
      <c r="V116" s="2">
        <f t="shared" si="22"/>
        <v>29583.45</v>
      </c>
      <c r="W116" s="2">
        <f t="shared" si="23"/>
        <v>4519.69375</v>
      </c>
      <c r="X116" s="2">
        <f t="shared" si="24"/>
        <v>47662.225</v>
      </c>
      <c r="Y116" s="2">
        <f t="shared" si="25"/>
        <v>4289.6002499999995</v>
      </c>
      <c r="Z116" s="2">
        <f t="shared" si="26"/>
        <v>1143.8934</v>
      </c>
      <c r="AA116" s="2">
        <f t="shared" si="27"/>
        <v>9953.187399999999</v>
      </c>
      <c r="AB116" s="2">
        <f t="shared" si="28"/>
        <v>66.35458266666666</v>
      </c>
    </row>
    <row r="117" spans="1:28" ht="15">
      <c r="A117" s="30" t="str">
        <f t="shared" si="15"/>
        <v>NT Grain Drill30'</v>
      </c>
      <c r="B117" s="47" t="s">
        <v>187</v>
      </c>
      <c r="C117" s="47" t="s">
        <v>119</v>
      </c>
      <c r="D117" s="49">
        <v>30</v>
      </c>
      <c r="E117" s="3">
        <v>5</v>
      </c>
      <c r="F117" s="3">
        <v>0.7</v>
      </c>
      <c r="G117" s="84">
        <f t="shared" si="29"/>
        <v>0.07857142857142857</v>
      </c>
      <c r="H117" s="150">
        <v>69656</v>
      </c>
      <c r="I117" s="150">
        <v>45</v>
      </c>
      <c r="J117" s="150">
        <v>45</v>
      </c>
      <c r="K117" s="150">
        <v>8</v>
      </c>
      <c r="L117" s="150">
        <v>150</v>
      </c>
      <c r="M117" s="48">
        <v>0</v>
      </c>
      <c r="N117" s="34">
        <f t="shared" si="17"/>
        <v>1200</v>
      </c>
      <c r="O117" s="28">
        <v>1</v>
      </c>
      <c r="P117" s="41">
        <v>0.27</v>
      </c>
      <c r="Q117" s="41">
        <v>1.4</v>
      </c>
      <c r="R117" s="31">
        <f t="shared" si="18"/>
        <v>1320.8395309184912</v>
      </c>
      <c r="S117" s="31">
        <f t="shared" si="19"/>
        <v>8.805596872789941</v>
      </c>
      <c r="T117" s="32">
        <f t="shared" si="20"/>
        <v>3918.15</v>
      </c>
      <c r="U117" s="32">
        <f t="shared" si="21"/>
        <v>26.121000000000002</v>
      </c>
      <c r="V117" s="2">
        <f t="shared" si="22"/>
        <v>31345.2</v>
      </c>
      <c r="W117" s="2">
        <f t="shared" si="23"/>
        <v>4788.85</v>
      </c>
      <c r="X117" s="2">
        <f t="shared" si="24"/>
        <v>50500.6</v>
      </c>
      <c r="Y117" s="2">
        <f t="shared" si="25"/>
        <v>4545.054</v>
      </c>
      <c r="Z117" s="2">
        <f t="shared" si="26"/>
        <v>1212.0144</v>
      </c>
      <c r="AA117" s="2">
        <f t="shared" si="27"/>
        <v>10545.9184</v>
      </c>
      <c r="AB117" s="2">
        <f t="shared" si="28"/>
        <v>70.30612266666667</v>
      </c>
    </row>
    <row r="118" spans="1:28" ht="15">
      <c r="A118" s="30" t="str">
        <f t="shared" si="15"/>
        <v>NT Plant&amp;Pre-Folding10R-30</v>
      </c>
      <c r="B118" s="47" t="s">
        <v>203</v>
      </c>
      <c r="C118" s="47" t="s">
        <v>103</v>
      </c>
      <c r="D118" s="49">
        <v>25</v>
      </c>
      <c r="E118" s="3">
        <v>6.5</v>
      </c>
      <c r="F118" s="3">
        <v>0.65</v>
      </c>
      <c r="G118" s="84">
        <f t="shared" si="29"/>
        <v>0.07810650887573965</v>
      </c>
      <c r="H118" s="150">
        <v>52268</v>
      </c>
      <c r="I118" s="150">
        <v>45</v>
      </c>
      <c r="J118" s="150">
        <v>45</v>
      </c>
      <c r="K118" s="150">
        <v>8</v>
      </c>
      <c r="L118" s="150">
        <v>150</v>
      </c>
      <c r="M118" s="48">
        <v>0</v>
      </c>
      <c r="N118" s="34">
        <f t="shared" si="17"/>
        <v>1200</v>
      </c>
      <c r="O118" s="28">
        <v>1</v>
      </c>
      <c r="P118" s="41">
        <v>0.27</v>
      </c>
      <c r="Q118" s="41">
        <v>1.4</v>
      </c>
      <c r="R118" s="31">
        <f t="shared" si="18"/>
        <v>991.1226685719492</v>
      </c>
      <c r="S118" s="31">
        <f t="shared" si="19"/>
        <v>6.607484457146328</v>
      </c>
      <c r="T118" s="32">
        <f t="shared" si="20"/>
        <v>2940.075</v>
      </c>
      <c r="U118" s="32">
        <f t="shared" si="21"/>
        <v>19.6005</v>
      </c>
      <c r="V118" s="2">
        <f t="shared" si="22"/>
        <v>23520.6</v>
      </c>
      <c r="W118" s="2">
        <f t="shared" si="23"/>
        <v>3593.425</v>
      </c>
      <c r="X118" s="2">
        <f t="shared" si="24"/>
        <v>37894.3</v>
      </c>
      <c r="Y118" s="2">
        <f t="shared" si="25"/>
        <v>3410.487</v>
      </c>
      <c r="Z118" s="2">
        <f t="shared" si="26"/>
        <v>909.4632000000001</v>
      </c>
      <c r="AA118" s="2">
        <f t="shared" si="27"/>
        <v>7913.3752</v>
      </c>
      <c r="AB118" s="2">
        <f t="shared" si="28"/>
        <v>52.75583466666667</v>
      </c>
    </row>
    <row r="119" spans="1:28" ht="15">
      <c r="A119" s="30" t="str">
        <f t="shared" si="15"/>
        <v>NT Plant&amp;Pre-Folding10R-40</v>
      </c>
      <c r="B119" s="47" t="s">
        <v>203</v>
      </c>
      <c r="C119" s="47" t="s">
        <v>104</v>
      </c>
      <c r="D119" s="49">
        <v>33.3</v>
      </c>
      <c r="E119" s="3">
        <v>6.5</v>
      </c>
      <c r="F119" s="3">
        <v>0.65</v>
      </c>
      <c r="G119" s="84">
        <f t="shared" si="29"/>
        <v>0.058638520176981714</v>
      </c>
      <c r="H119" s="150">
        <v>52826</v>
      </c>
      <c r="I119" s="150">
        <v>45</v>
      </c>
      <c r="J119" s="150">
        <v>45</v>
      </c>
      <c r="K119" s="150">
        <v>8</v>
      </c>
      <c r="L119" s="150">
        <v>150</v>
      </c>
      <c r="M119" s="48">
        <v>0</v>
      </c>
      <c r="N119" s="34">
        <f t="shared" si="17"/>
        <v>1200</v>
      </c>
      <c r="O119" s="28">
        <v>1</v>
      </c>
      <c r="P119" s="41">
        <v>0.27</v>
      </c>
      <c r="Q119" s="41">
        <v>1.4</v>
      </c>
      <c r="R119" s="31">
        <f t="shared" si="18"/>
        <v>1001.7036444857616</v>
      </c>
      <c r="S119" s="31">
        <f t="shared" si="19"/>
        <v>6.678024296571744</v>
      </c>
      <c r="T119" s="32">
        <f t="shared" si="20"/>
        <v>2971.4625</v>
      </c>
      <c r="U119" s="32">
        <f t="shared" si="21"/>
        <v>19.80975</v>
      </c>
      <c r="V119" s="2">
        <f t="shared" si="22"/>
        <v>23771.7</v>
      </c>
      <c r="W119" s="2">
        <f t="shared" si="23"/>
        <v>3631.7875</v>
      </c>
      <c r="X119" s="2">
        <f t="shared" si="24"/>
        <v>38298.85</v>
      </c>
      <c r="Y119" s="2">
        <f t="shared" si="25"/>
        <v>3446.8965</v>
      </c>
      <c r="Z119" s="2">
        <f t="shared" si="26"/>
        <v>919.1724</v>
      </c>
      <c r="AA119" s="2">
        <f t="shared" si="27"/>
        <v>7997.856400000001</v>
      </c>
      <c r="AB119" s="2">
        <f t="shared" si="28"/>
        <v>53.31904266666667</v>
      </c>
    </row>
    <row r="120" spans="1:28" ht="15">
      <c r="A120" s="30" t="str">
        <f t="shared" si="15"/>
        <v>NT Plant&amp;Pre-Folding12R-20</v>
      </c>
      <c r="B120" s="47" t="s">
        <v>203</v>
      </c>
      <c r="C120" s="47" t="s">
        <v>130</v>
      </c>
      <c r="D120" s="49">
        <v>20</v>
      </c>
      <c r="E120" s="3">
        <v>6.5</v>
      </c>
      <c r="F120" s="3">
        <v>0.65</v>
      </c>
      <c r="G120" s="84">
        <f t="shared" si="29"/>
        <v>0.09763313609467456</v>
      </c>
      <c r="H120" s="150">
        <v>51170</v>
      </c>
      <c r="I120" s="150">
        <v>45</v>
      </c>
      <c r="J120" s="150">
        <v>45</v>
      </c>
      <c r="K120" s="150">
        <v>8</v>
      </c>
      <c r="L120" s="150">
        <v>150</v>
      </c>
      <c r="M120" s="48">
        <v>0</v>
      </c>
      <c r="N120" s="34">
        <f t="shared" si="17"/>
        <v>1200</v>
      </c>
      <c r="O120" s="28">
        <v>1</v>
      </c>
      <c r="P120" s="41">
        <v>0.27</v>
      </c>
      <c r="Q120" s="41">
        <v>1.4</v>
      </c>
      <c r="R120" s="31">
        <f t="shared" si="18"/>
        <v>970.3020385479958</v>
      </c>
      <c r="S120" s="31">
        <f t="shared" si="19"/>
        <v>6.468680256986639</v>
      </c>
      <c r="T120" s="32">
        <f t="shared" si="20"/>
        <v>2878.3125</v>
      </c>
      <c r="U120" s="32">
        <f t="shared" si="21"/>
        <v>19.18875</v>
      </c>
      <c r="V120" s="2">
        <f t="shared" si="22"/>
        <v>23026.5</v>
      </c>
      <c r="W120" s="2">
        <f t="shared" si="23"/>
        <v>3517.9375</v>
      </c>
      <c r="X120" s="2">
        <f t="shared" si="24"/>
        <v>37098.25</v>
      </c>
      <c r="Y120" s="2">
        <f t="shared" si="25"/>
        <v>3338.8424999999997</v>
      </c>
      <c r="Z120" s="2">
        <f t="shared" si="26"/>
        <v>890.3580000000001</v>
      </c>
      <c r="AA120" s="2">
        <f t="shared" si="27"/>
        <v>7747.138</v>
      </c>
      <c r="AB120" s="2">
        <f t="shared" si="28"/>
        <v>51.64758666666667</v>
      </c>
    </row>
    <row r="121" spans="1:28" ht="15">
      <c r="A121" s="30" t="str">
        <f t="shared" si="15"/>
        <v>NT Plant&amp;Pre-Folding12R-30</v>
      </c>
      <c r="B121" s="47" t="s">
        <v>203</v>
      </c>
      <c r="C121" s="47" t="s">
        <v>213</v>
      </c>
      <c r="D121" s="49">
        <v>30</v>
      </c>
      <c r="E121" s="3">
        <v>6.5</v>
      </c>
      <c r="F121" s="3">
        <v>0.65</v>
      </c>
      <c r="G121" s="84">
        <f t="shared" si="29"/>
        <v>0.0650887573964497</v>
      </c>
      <c r="H121" s="150">
        <v>57431</v>
      </c>
      <c r="I121" s="150">
        <v>45</v>
      </c>
      <c r="J121" s="150">
        <v>45</v>
      </c>
      <c r="K121" s="150">
        <v>8</v>
      </c>
      <c r="L121" s="150">
        <v>150</v>
      </c>
      <c r="M121" s="48">
        <v>0</v>
      </c>
      <c r="N121" s="34">
        <f t="shared" si="17"/>
        <v>1200</v>
      </c>
      <c r="O121" s="28">
        <v>1</v>
      </c>
      <c r="P121" s="41">
        <v>0.27</v>
      </c>
      <c r="Q121" s="41">
        <v>1.4</v>
      </c>
      <c r="R121" s="31">
        <f t="shared" si="18"/>
        <v>1089.0251392583534</v>
      </c>
      <c r="S121" s="31">
        <f t="shared" si="19"/>
        <v>7.260167595055689</v>
      </c>
      <c r="T121" s="32">
        <f t="shared" si="20"/>
        <v>3230.49375</v>
      </c>
      <c r="U121" s="32">
        <f t="shared" si="21"/>
        <v>21.536625</v>
      </c>
      <c r="V121" s="2">
        <f t="shared" si="22"/>
        <v>25843.95</v>
      </c>
      <c r="W121" s="2">
        <f t="shared" si="23"/>
        <v>3948.38125</v>
      </c>
      <c r="X121" s="2">
        <f t="shared" si="24"/>
        <v>41637.475</v>
      </c>
      <c r="Y121" s="2">
        <f t="shared" si="25"/>
        <v>3747.3727499999995</v>
      </c>
      <c r="Z121" s="2">
        <f t="shared" si="26"/>
        <v>999.2994</v>
      </c>
      <c r="AA121" s="2">
        <f t="shared" si="27"/>
        <v>8695.053399999999</v>
      </c>
      <c r="AB121" s="2">
        <f t="shared" si="28"/>
        <v>57.96702266666666</v>
      </c>
    </row>
    <row r="122" spans="1:28" ht="15">
      <c r="A122" s="30" t="str">
        <f t="shared" si="15"/>
        <v>NT Plant&amp;Pre-Folding12R-40</v>
      </c>
      <c r="B122" s="47" t="s">
        <v>203</v>
      </c>
      <c r="C122" s="47" t="s">
        <v>114</v>
      </c>
      <c r="D122" s="49">
        <v>40</v>
      </c>
      <c r="E122" s="3">
        <v>6.5</v>
      </c>
      <c r="F122" s="3">
        <v>0.65</v>
      </c>
      <c r="G122" s="84">
        <f t="shared" si="29"/>
        <v>0.04881656804733728</v>
      </c>
      <c r="H122" s="150">
        <v>55148</v>
      </c>
      <c r="I122" s="150">
        <v>45</v>
      </c>
      <c r="J122" s="150">
        <v>45</v>
      </c>
      <c r="K122" s="150">
        <v>8</v>
      </c>
      <c r="L122" s="150">
        <v>150</v>
      </c>
      <c r="M122" s="48">
        <v>0</v>
      </c>
      <c r="N122" s="34">
        <f t="shared" si="17"/>
        <v>1200</v>
      </c>
      <c r="O122" s="28">
        <v>1</v>
      </c>
      <c r="P122" s="41">
        <v>0.27</v>
      </c>
      <c r="Q122" s="41">
        <v>1.4</v>
      </c>
      <c r="R122" s="31">
        <f t="shared" si="18"/>
        <v>1045.7341571593681</v>
      </c>
      <c r="S122" s="31">
        <f t="shared" si="19"/>
        <v>6.9715610477291206</v>
      </c>
      <c r="T122" s="32">
        <f t="shared" si="20"/>
        <v>3102.075</v>
      </c>
      <c r="U122" s="32">
        <f t="shared" si="21"/>
        <v>20.6805</v>
      </c>
      <c r="V122" s="2">
        <f t="shared" si="22"/>
        <v>24816.6</v>
      </c>
      <c r="W122" s="2">
        <f t="shared" si="23"/>
        <v>3791.425</v>
      </c>
      <c r="X122" s="2">
        <f t="shared" si="24"/>
        <v>39982.3</v>
      </c>
      <c r="Y122" s="2">
        <f t="shared" si="25"/>
        <v>3598.407</v>
      </c>
      <c r="Z122" s="2">
        <f t="shared" si="26"/>
        <v>959.5752000000001</v>
      </c>
      <c r="AA122" s="2">
        <f t="shared" si="27"/>
        <v>8349.407200000001</v>
      </c>
      <c r="AB122" s="2">
        <f t="shared" si="28"/>
        <v>55.66271466666667</v>
      </c>
    </row>
    <row r="123" spans="1:28" ht="15">
      <c r="A123" s="30" t="str">
        <f t="shared" si="15"/>
        <v>NT Plant&amp;Pre-Folding16R-30</v>
      </c>
      <c r="B123" s="47" t="s">
        <v>203</v>
      </c>
      <c r="C123" s="47" t="s">
        <v>222</v>
      </c>
      <c r="D123" s="49">
        <v>40</v>
      </c>
      <c r="E123" s="3">
        <v>6.5</v>
      </c>
      <c r="F123" s="3">
        <v>0.65</v>
      </c>
      <c r="G123" s="84">
        <f t="shared" si="29"/>
        <v>0.04881656804733728</v>
      </c>
      <c r="H123" s="150">
        <v>78048</v>
      </c>
      <c r="I123" s="150">
        <v>45</v>
      </c>
      <c r="J123" s="150">
        <v>45</v>
      </c>
      <c r="K123" s="150">
        <v>8</v>
      </c>
      <c r="L123" s="150">
        <v>150</v>
      </c>
      <c r="M123" s="48">
        <v>0</v>
      </c>
      <c r="N123" s="34">
        <f t="shared" si="17"/>
        <v>1200</v>
      </c>
      <c r="O123" s="28">
        <v>1</v>
      </c>
      <c r="P123" s="41">
        <v>0.27</v>
      </c>
      <c r="Q123" s="41">
        <v>1.4</v>
      </c>
      <c r="R123" s="31">
        <f t="shared" si="18"/>
        <v>1479.9713407190536</v>
      </c>
      <c r="S123" s="31">
        <f t="shared" si="19"/>
        <v>9.86647560479369</v>
      </c>
      <c r="T123" s="32">
        <f t="shared" si="20"/>
        <v>4390.2</v>
      </c>
      <c r="U123" s="32">
        <f t="shared" si="21"/>
        <v>29.267999999999997</v>
      </c>
      <c r="V123" s="2">
        <f t="shared" si="22"/>
        <v>35121.6</v>
      </c>
      <c r="W123" s="2">
        <f t="shared" si="23"/>
        <v>5365.8</v>
      </c>
      <c r="X123" s="2">
        <f t="shared" si="24"/>
        <v>56584.8</v>
      </c>
      <c r="Y123" s="2">
        <f t="shared" si="25"/>
        <v>5092.6320000000005</v>
      </c>
      <c r="Z123" s="2">
        <f t="shared" si="26"/>
        <v>1358.0352</v>
      </c>
      <c r="AA123" s="2">
        <f t="shared" si="27"/>
        <v>11816.467200000001</v>
      </c>
      <c r="AB123" s="2">
        <f t="shared" si="28"/>
        <v>78.776448</v>
      </c>
    </row>
    <row r="124" spans="1:28" ht="15">
      <c r="A124" s="30" t="str">
        <f t="shared" si="15"/>
        <v>NT Plant&amp;Pre-Folding23R-15</v>
      </c>
      <c r="B124" s="47" t="s">
        <v>203</v>
      </c>
      <c r="C124" s="47" t="s">
        <v>225</v>
      </c>
      <c r="D124" s="49">
        <v>28.8</v>
      </c>
      <c r="E124" s="3">
        <v>6.5</v>
      </c>
      <c r="F124" s="3">
        <v>0.65</v>
      </c>
      <c r="G124" s="84">
        <f t="shared" si="29"/>
        <v>0.0678007889546351</v>
      </c>
      <c r="H124" s="150">
        <v>89512</v>
      </c>
      <c r="I124" s="150">
        <v>45</v>
      </c>
      <c r="J124" s="150">
        <v>45</v>
      </c>
      <c r="K124" s="150">
        <v>8</v>
      </c>
      <c r="L124" s="150">
        <v>150</v>
      </c>
      <c r="M124" s="48">
        <v>0</v>
      </c>
      <c r="N124" s="34">
        <f t="shared" si="17"/>
        <v>1200</v>
      </c>
      <c r="O124" s="28">
        <v>1</v>
      </c>
      <c r="P124" s="41">
        <v>0.27</v>
      </c>
      <c r="Q124" s="41">
        <v>1.4</v>
      </c>
      <c r="R124" s="31">
        <f t="shared" si="18"/>
        <v>1697.355405012863</v>
      </c>
      <c r="S124" s="31">
        <f t="shared" si="19"/>
        <v>11.315702700085753</v>
      </c>
      <c r="T124" s="32">
        <f t="shared" si="20"/>
        <v>5035.05</v>
      </c>
      <c r="U124" s="32">
        <f t="shared" si="21"/>
        <v>33.567</v>
      </c>
      <c r="V124" s="2">
        <f t="shared" si="22"/>
        <v>40280.4</v>
      </c>
      <c r="W124" s="2">
        <f t="shared" si="23"/>
        <v>6153.95</v>
      </c>
      <c r="X124" s="2">
        <f t="shared" si="24"/>
        <v>64896.2</v>
      </c>
      <c r="Y124" s="2">
        <f t="shared" si="25"/>
        <v>5840.657999999999</v>
      </c>
      <c r="Z124" s="2">
        <f t="shared" si="26"/>
        <v>1557.5088</v>
      </c>
      <c r="AA124" s="2">
        <f t="shared" si="27"/>
        <v>13552.1168</v>
      </c>
      <c r="AB124" s="2">
        <f t="shared" si="28"/>
        <v>90.34744533333333</v>
      </c>
    </row>
    <row r="125" spans="1:28" ht="15">
      <c r="A125" s="30" t="str">
        <f t="shared" si="15"/>
        <v>NT Plant&amp;Pre-Folding24R-20</v>
      </c>
      <c r="B125" s="47" t="s">
        <v>203</v>
      </c>
      <c r="C125" s="47" t="s">
        <v>223</v>
      </c>
      <c r="D125" s="49">
        <v>40</v>
      </c>
      <c r="E125" s="3">
        <v>6.5</v>
      </c>
      <c r="F125" s="3">
        <v>0.65</v>
      </c>
      <c r="G125" s="84">
        <f t="shared" si="29"/>
        <v>0.04881656804733728</v>
      </c>
      <c r="H125" s="150">
        <v>104916</v>
      </c>
      <c r="I125" s="150">
        <v>45</v>
      </c>
      <c r="J125" s="150">
        <v>45</v>
      </c>
      <c r="K125" s="150">
        <v>8</v>
      </c>
      <c r="L125" s="150">
        <v>150</v>
      </c>
      <c r="M125" s="48">
        <v>0</v>
      </c>
      <c r="N125" s="34">
        <f t="shared" si="17"/>
        <v>1200</v>
      </c>
      <c r="O125" s="28">
        <v>1</v>
      </c>
      <c r="P125" s="41">
        <v>0.27</v>
      </c>
      <c r="Q125" s="41">
        <v>1.4</v>
      </c>
      <c r="R125" s="31">
        <f t="shared" si="18"/>
        <v>1989.4510196658498</v>
      </c>
      <c r="S125" s="31">
        <f t="shared" si="19"/>
        <v>13.263006797772332</v>
      </c>
      <c r="T125" s="32">
        <f t="shared" si="20"/>
        <v>5901.525</v>
      </c>
      <c r="U125" s="32">
        <f t="shared" si="21"/>
        <v>39.3435</v>
      </c>
      <c r="V125" s="2">
        <f t="shared" si="22"/>
        <v>47212.2</v>
      </c>
      <c r="W125" s="2">
        <f t="shared" si="23"/>
        <v>7212.975</v>
      </c>
      <c r="X125" s="2">
        <f t="shared" si="24"/>
        <v>76064.1</v>
      </c>
      <c r="Y125" s="2">
        <f t="shared" si="25"/>
        <v>6845.769</v>
      </c>
      <c r="Z125" s="2">
        <f t="shared" si="26"/>
        <v>1825.5384000000001</v>
      </c>
      <c r="AA125" s="2">
        <f t="shared" si="27"/>
        <v>15884.2824</v>
      </c>
      <c r="AB125" s="2">
        <f t="shared" si="28"/>
        <v>105.895216</v>
      </c>
    </row>
    <row r="126" spans="1:28" ht="15">
      <c r="A126" s="30" t="str">
        <f t="shared" si="15"/>
        <v>NT Plant&amp;Pre-Folding24R-30</v>
      </c>
      <c r="B126" s="47" t="s">
        <v>203</v>
      </c>
      <c r="C126" s="47" t="s">
        <v>224</v>
      </c>
      <c r="D126" s="49">
        <v>60</v>
      </c>
      <c r="E126" s="3">
        <v>6.5</v>
      </c>
      <c r="F126" s="3">
        <v>0.65</v>
      </c>
      <c r="G126" s="84">
        <f t="shared" si="29"/>
        <v>0.03254437869822485</v>
      </c>
      <c r="H126" s="150">
        <v>116453</v>
      </c>
      <c r="I126" s="150">
        <v>45</v>
      </c>
      <c r="J126" s="150">
        <v>45</v>
      </c>
      <c r="K126" s="150">
        <v>8</v>
      </c>
      <c r="L126" s="150">
        <v>150</v>
      </c>
      <c r="M126" s="48">
        <v>0</v>
      </c>
      <c r="N126" s="34">
        <f t="shared" si="17"/>
        <v>1200</v>
      </c>
      <c r="O126" s="28">
        <v>1</v>
      </c>
      <c r="P126" s="41">
        <v>0.27</v>
      </c>
      <c r="Q126" s="41">
        <v>1.4</v>
      </c>
      <c r="R126" s="31">
        <f t="shared" si="18"/>
        <v>2208.2193334967706</v>
      </c>
      <c r="S126" s="31">
        <f t="shared" si="19"/>
        <v>14.721462223311804</v>
      </c>
      <c r="T126" s="32">
        <f t="shared" si="20"/>
        <v>6550.48125</v>
      </c>
      <c r="U126" s="32">
        <f t="shared" si="21"/>
        <v>43.669875</v>
      </c>
      <c r="V126" s="2">
        <f t="shared" si="22"/>
        <v>52403.85</v>
      </c>
      <c r="W126" s="2">
        <f t="shared" si="23"/>
        <v>8006.14375</v>
      </c>
      <c r="X126" s="2">
        <f t="shared" si="24"/>
        <v>84428.425</v>
      </c>
      <c r="Y126" s="2">
        <f t="shared" si="25"/>
        <v>7598.55825</v>
      </c>
      <c r="Z126" s="2">
        <f t="shared" si="26"/>
        <v>2026.2822</v>
      </c>
      <c r="AA126" s="2">
        <f t="shared" si="27"/>
        <v>17630.9842</v>
      </c>
      <c r="AB126" s="2">
        <f t="shared" si="28"/>
        <v>117.53989466666665</v>
      </c>
    </row>
    <row r="127" spans="1:28" ht="15">
      <c r="A127" s="30" t="str">
        <f t="shared" si="15"/>
        <v>NT Plant&amp;Pre-Folding8R-40</v>
      </c>
      <c r="B127" s="47" t="s">
        <v>203</v>
      </c>
      <c r="C127" s="47" t="s">
        <v>102</v>
      </c>
      <c r="D127" s="49">
        <v>26.7</v>
      </c>
      <c r="E127" s="3">
        <v>6.5</v>
      </c>
      <c r="F127" s="3">
        <v>0.65</v>
      </c>
      <c r="G127" s="84">
        <f t="shared" si="29"/>
        <v>0.07313343527690978</v>
      </c>
      <c r="H127" s="150">
        <v>39614</v>
      </c>
      <c r="I127" s="150">
        <v>45</v>
      </c>
      <c r="J127" s="150">
        <v>45</v>
      </c>
      <c r="K127" s="150">
        <v>8</v>
      </c>
      <c r="L127" s="150">
        <v>150</v>
      </c>
      <c r="M127" s="48">
        <v>0</v>
      </c>
      <c r="N127" s="34">
        <f t="shared" si="17"/>
        <v>1200</v>
      </c>
      <c r="O127" s="28">
        <v>1</v>
      </c>
      <c r="P127" s="41">
        <v>0.27</v>
      </c>
      <c r="Q127" s="41">
        <v>1.4</v>
      </c>
      <c r="R127" s="31">
        <f t="shared" si="18"/>
        <v>751.1734405909772</v>
      </c>
      <c r="S127" s="31">
        <f t="shared" si="19"/>
        <v>5.007822937273181</v>
      </c>
      <c r="T127" s="32">
        <f t="shared" si="20"/>
        <v>2228.2875</v>
      </c>
      <c r="U127" s="32">
        <f t="shared" si="21"/>
        <v>14.85525</v>
      </c>
      <c r="V127" s="2">
        <f t="shared" si="22"/>
        <v>17826.3</v>
      </c>
      <c r="W127" s="2">
        <f t="shared" si="23"/>
        <v>2723.4625</v>
      </c>
      <c r="X127" s="2">
        <f t="shared" si="24"/>
        <v>28720.15</v>
      </c>
      <c r="Y127" s="2">
        <f t="shared" si="25"/>
        <v>2584.8135</v>
      </c>
      <c r="Z127" s="2">
        <f t="shared" si="26"/>
        <v>689.2836000000001</v>
      </c>
      <c r="AA127" s="2">
        <f t="shared" si="27"/>
        <v>5997.5596000000005</v>
      </c>
      <c r="AB127" s="2">
        <f t="shared" si="28"/>
        <v>39.98373066666667</v>
      </c>
    </row>
    <row r="128" spans="1:28" ht="15">
      <c r="A128" s="30" t="str">
        <f t="shared" si="15"/>
        <v>NT Plant&amp;Pre-Folding8R-40 2x1</v>
      </c>
      <c r="B128" s="47" t="s">
        <v>203</v>
      </c>
      <c r="C128" s="47" t="s">
        <v>113</v>
      </c>
      <c r="D128" s="49">
        <v>40</v>
      </c>
      <c r="E128" s="3">
        <v>6.5</v>
      </c>
      <c r="F128" s="3">
        <v>0.65</v>
      </c>
      <c r="G128" s="84">
        <f t="shared" si="29"/>
        <v>0.04881656804733728</v>
      </c>
      <c r="H128" s="150">
        <v>55148</v>
      </c>
      <c r="I128" s="150">
        <v>45</v>
      </c>
      <c r="J128" s="150">
        <v>45</v>
      </c>
      <c r="K128" s="150">
        <v>8</v>
      </c>
      <c r="L128" s="150">
        <v>150</v>
      </c>
      <c r="M128" s="48">
        <v>0</v>
      </c>
      <c r="N128" s="34">
        <f t="shared" si="17"/>
        <v>1200</v>
      </c>
      <c r="O128" s="28">
        <v>1</v>
      </c>
      <c r="P128" s="41">
        <v>0.27</v>
      </c>
      <c r="Q128" s="41">
        <v>1.4</v>
      </c>
      <c r="R128" s="31">
        <f t="shared" si="18"/>
        <v>1045.7341571593681</v>
      </c>
      <c r="S128" s="31">
        <f t="shared" si="19"/>
        <v>6.9715610477291206</v>
      </c>
      <c r="T128" s="32">
        <f t="shared" si="20"/>
        <v>3102.075</v>
      </c>
      <c r="U128" s="32">
        <f t="shared" si="21"/>
        <v>20.6805</v>
      </c>
      <c r="V128" s="2">
        <f t="shared" si="22"/>
        <v>24816.6</v>
      </c>
      <c r="W128" s="2">
        <f t="shared" si="23"/>
        <v>3791.425</v>
      </c>
      <c r="X128" s="2">
        <f t="shared" si="24"/>
        <v>39982.3</v>
      </c>
      <c r="Y128" s="2">
        <f t="shared" si="25"/>
        <v>3598.407</v>
      </c>
      <c r="Z128" s="2">
        <f t="shared" si="26"/>
        <v>959.5752000000001</v>
      </c>
      <c r="AA128" s="2">
        <f t="shared" si="27"/>
        <v>8349.407200000001</v>
      </c>
      <c r="AB128" s="2">
        <f t="shared" si="28"/>
        <v>55.66271466666667</v>
      </c>
    </row>
    <row r="129" spans="1:28" ht="15">
      <c r="A129" s="30" t="str">
        <f t="shared" si="15"/>
        <v>NT Plant&amp;Pre-Rigid10R-30</v>
      </c>
      <c r="B129" s="47" t="s">
        <v>189</v>
      </c>
      <c r="C129" s="47" t="s">
        <v>103</v>
      </c>
      <c r="D129" s="49">
        <v>25</v>
      </c>
      <c r="E129" s="3">
        <v>6.5</v>
      </c>
      <c r="F129" s="3">
        <v>0.65</v>
      </c>
      <c r="G129" s="84">
        <f t="shared" si="29"/>
        <v>0.07810650887573965</v>
      </c>
      <c r="H129" s="150">
        <v>33705</v>
      </c>
      <c r="I129" s="150">
        <v>45</v>
      </c>
      <c r="J129" s="150">
        <v>45</v>
      </c>
      <c r="K129" s="150">
        <v>8</v>
      </c>
      <c r="L129" s="150">
        <v>150</v>
      </c>
      <c r="M129" s="48">
        <v>0</v>
      </c>
      <c r="N129" s="34">
        <f t="shared" si="17"/>
        <v>1200</v>
      </c>
      <c r="O129" s="28">
        <v>1</v>
      </c>
      <c r="P129" s="41">
        <v>0.27</v>
      </c>
      <c r="Q129" s="41">
        <v>1.4</v>
      </c>
      <c r="R129" s="31">
        <f t="shared" si="18"/>
        <v>639.1250773746374</v>
      </c>
      <c r="S129" s="31">
        <f t="shared" si="19"/>
        <v>4.260833849164249</v>
      </c>
      <c r="T129" s="32">
        <f t="shared" si="20"/>
        <v>1895.90625</v>
      </c>
      <c r="U129" s="32">
        <f t="shared" si="21"/>
        <v>12.639375</v>
      </c>
      <c r="V129" s="2">
        <f t="shared" si="22"/>
        <v>15167.25</v>
      </c>
      <c r="W129" s="2">
        <f t="shared" si="23"/>
        <v>2317.21875</v>
      </c>
      <c r="X129" s="2">
        <f t="shared" si="24"/>
        <v>24436.125</v>
      </c>
      <c r="Y129" s="2">
        <f t="shared" si="25"/>
        <v>2199.25125</v>
      </c>
      <c r="Z129" s="2">
        <f t="shared" si="26"/>
        <v>586.467</v>
      </c>
      <c r="AA129" s="2">
        <f t="shared" si="27"/>
        <v>5102.937</v>
      </c>
      <c r="AB129" s="2">
        <f t="shared" si="28"/>
        <v>34.01958</v>
      </c>
    </row>
    <row r="130" spans="1:28" ht="15">
      <c r="A130" s="30" t="str">
        <f t="shared" si="15"/>
        <v>NT Plant&amp;Pre-Rigid12R-20</v>
      </c>
      <c r="B130" s="47" t="s">
        <v>189</v>
      </c>
      <c r="C130" s="47" t="s">
        <v>130</v>
      </c>
      <c r="D130" s="49">
        <v>20</v>
      </c>
      <c r="E130" s="3">
        <v>6.5</v>
      </c>
      <c r="F130" s="3">
        <v>0.65</v>
      </c>
      <c r="G130" s="84">
        <f t="shared" si="29"/>
        <v>0.09763313609467456</v>
      </c>
      <c r="H130" s="150">
        <v>28958</v>
      </c>
      <c r="I130" s="150">
        <v>45</v>
      </c>
      <c r="J130" s="150">
        <v>45</v>
      </c>
      <c r="K130" s="150">
        <v>8</v>
      </c>
      <c r="L130" s="150">
        <v>150</v>
      </c>
      <c r="M130" s="48">
        <v>0</v>
      </c>
      <c r="N130" s="34">
        <f t="shared" si="17"/>
        <v>1200</v>
      </c>
      <c r="O130" s="28">
        <v>1</v>
      </c>
      <c r="P130" s="41">
        <v>0.27</v>
      </c>
      <c r="Q130" s="41">
        <v>1.4</v>
      </c>
      <c r="R130" s="31">
        <f t="shared" si="18"/>
        <v>549.1109328175271</v>
      </c>
      <c r="S130" s="31">
        <f t="shared" si="19"/>
        <v>3.6607395521168473</v>
      </c>
      <c r="T130" s="32">
        <f t="shared" si="20"/>
        <v>1628.8875</v>
      </c>
      <c r="U130" s="32">
        <f t="shared" si="21"/>
        <v>10.859250000000001</v>
      </c>
      <c r="V130" s="2">
        <f t="shared" si="22"/>
        <v>13031.1</v>
      </c>
      <c r="W130" s="2">
        <f t="shared" si="23"/>
        <v>1990.8625</v>
      </c>
      <c r="X130" s="2">
        <f t="shared" si="24"/>
        <v>20994.55</v>
      </c>
      <c r="Y130" s="2">
        <f t="shared" si="25"/>
        <v>1889.5095</v>
      </c>
      <c r="Z130" s="2">
        <f t="shared" si="26"/>
        <v>503.8692</v>
      </c>
      <c r="AA130" s="2">
        <f t="shared" si="27"/>
        <v>4384.2411999999995</v>
      </c>
      <c r="AB130" s="2">
        <f t="shared" si="28"/>
        <v>29.228274666666664</v>
      </c>
    </row>
    <row r="131" spans="1:28" ht="15">
      <c r="A131" s="30" t="str">
        <f t="shared" si="15"/>
        <v>NT Plant&amp;Pre-Rigid12R-30</v>
      </c>
      <c r="B131" s="47" t="s">
        <v>189</v>
      </c>
      <c r="C131" s="47" t="s">
        <v>213</v>
      </c>
      <c r="D131" s="49">
        <v>30</v>
      </c>
      <c r="E131" s="3">
        <v>6.5</v>
      </c>
      <c r="F131" s="3">
        <v>0.65</v>
      </c>
      <c r="G131" s="84">
        <f t="shared" si="29"/>
        <v>0.0650887573964497</v>
      </c>
      <c r="H131" s="150">
        <v>53891</v>
      </c>
      <c r="I131" s="150">
        <v>45</v>
      </c>
      <c r="J131" s="150">
        <v>45</v>
      </c>
      <c r="K131" s="150">
        <v>8</v>
      </c>
      <c r="L131" s="150">
        <v>150</v>
      </c>
      <c r="M131" s="48">
        <v>0</v>
      </c>
      <c r="N131" s="34">
        <f t="shared" si="17"/>
        <v>1200</v>
      </c>
      <c r="O131" s="28">
        <v>1</v>
      </c>
      <c r="P131" s="41">
        <v>0.27</v>
      </c>
      <c r="Q131" s="41">
        <v>1.4</v>
      </c>
      <c r="R131" s="31">
        <f t="shared" si="18"/>
        <v>1021.898517869651</v>
      </c>
      <c r="S131" s="31">
        <f t="shared" si="19"/>
        <v>6.812656785797673</v>
      </c>
      <c r="T131" s="32">
        <f t="shared" si="20"/>
        <v>3031.36875</v>
      </c>
      <c r="U131" s="32">
        <f t="shared" si="21"/>
        <v>20.209125</v>
      </c>
      <c r="V131" s="2">
        <f t="shared" si="22"/>
        <v>24250.95</v>
      </c>
      <c r="W131" s="2">
        <f t="shared" si="23"/>
        <v>3705.00625</v>
      </c>
      <c r="X131" s="2">
        <f t="shared" si="24"/>
        <v>39070.975</v>
      </c>
      <c r="Y131" s="2">
        <f t="shared" si="25"/>
        <v>3516.38775</v>
      </c>
      <c r="Z131" s="2">
        <f t="shared" si="26"/>
        <v>937.7034</v>
      </c>
      <c r="AA131" s="2">
        <f t="shared" si="27"/>
        <v>8159.097400000001</v>
      </c>
      <c r="AB131" s="2">
        <f t="shared" si="28"/>
        <v>54.39398266666667</v>
      </c>
    </row>
    <row r="132" spans="1:28" ht="15">
      <c r="A132" s="30" t="str">
        <f t="shared" si="15"/>
        <v>NT Plant&amp;Pre-Rigid4R-30</v>
      </c>
      <c r="B132" s="47" t="s">
        <v>189</v>
      </c>
      <c r="C132" s="47" t="s">
        <v>112</v>
      </c>
      <c r="D132" s="49">
        <v>10</v>
      </c>
      <c r="E132" s="3">
        <v>6.5</v>
      </c>
      <c r="F132" s="3">
        <v>0.65</v>
      </c>
      <c r="G132" s="84">
        <f t="shared" si="29"/>
        <v>0.1952662721893491</v>
      </c>
      <c r="H132" s="150">
        <v>21194</v>
      </c>
      <c r="I132" s="150">
        <v>45</v>
      </c>
      <c r="J132" s="150">
        <v>45</v>
      </c>
      <c r="K132" s="150">
        <v>8</v>
      </c>
      <c r="L132" s="150">
        <v>150</v>
      </c>
      <c r="M132" s="48">
        <v>0</v>
      </c>
      <c r="N132" s="34">
        <f t="shared" si="17"/>
        <v>1200</v>
      </c>
      <c r="O132" s="28">
        <v>1</v>
      </c>
      <c r="P132" s="41">
        <v>0.27</v>
      </c>
      <c r="Q132" s="41">
        <v>1.4</v>
      </c>
      <c r="R132" s="31">
        <f t="shared" si="18"/>
        <v>401.88746150061013</v>
      </c>
      <c r="S132" s="31">
        <f t="shared" si="19"/>
        <v>2.679249743337401</v>
      </c>
      <c r="T132" s="32">
        <f t="shared" si="20"/>
        <v>1192.1625</v>
      </c>
      <c r="U132" s="32">
        <f t="shared" si="21"/>
        <v>7.947749999999999</v>
      </c>
      <c r="V132" s="2">
        <f t="shared" si="22"/>
        <v>9537.3</v>
      </c>
      <c r="W132" s="2">
        <f t="shared" si="23"/>
        <v>1457.0875</v>
      </c>
      <c r="X132" s="2">
        <f t="shared" si="24"/>
        <v>15365.65</v>
      </c>
      <c r="Y132" s="2">
        <f t="shared" si="25"/>
        <v>1382.9085</v>
      </c>
      <c r="Z132" s="2">
        <f t="shared" si="26"/>
        <v>368.7756</v>
      </c>
      <c r="AA132" s="2">
        <f t="shared" si="27"/>
        <v>3208.7716</v>
      </c>
      <c r="AB132" s="2">
        <f t="shared" si="28"/>
        <v>21.391810666666668</v>
      </c>
    </row>
    <row r="133" spans="1:28" ht="15">
      <c r="A133" s="30" t="str">
        <f t="shared" si="15"/>
        <v>NT Plant&amp;Pre-Rigid4R-40</v>
      </c>
      <c r="B133" s="47" t="s">
        <v>189</v>
      </c>
      <c r="C133" s="47" t="s">
        <v>98</v>
      </c>
      <c r="D133" s="49">
        <v>13.3</v>
      </c>
      <c r="E133" s="3">
        <v>6.5</v>
      </c>
      <c r="F133" s="3">
        <v>0.65</v>
      </c>
      <c r="G133" s="84">
        <f t="shared" si="29"/>
        <v>0.1468167460070294</v>
      </c>
      <c r="H133" s="150">
        <v>20769</v>
      </c>
      <c r="I133" s="150">
        <v>45</v>
      </c>
      <c r="J133" s="150">
        <v>45</v>
      </c>
      <c r="K133" s="150">
        <v>8</v>
      </c>
      <c r="L133" s="150">
        <v>150</v>
      </c>
      <c r="M133" s="48">
        <v>0</v>
      </c>
      <c r="N133" s="34">
        <f t="shared" si="17"/>
        <v>1200</v>
      </c>
      <c r="O133" s="28">
        <v>1</v>
      </c>
      <c r="P133" s="41">
        <v>0.27</v>
      </c>
      <c r="Q133" s="41">
        <v>1.4</v>
      </c>
      <c r="R133" s="31">
        <f t="shared" si="18"/>
        <v>393.8284744694806</v>
      </c>
      <c r="S133" s="31">
        <f t="shared" si="19"/>
        <v>2.6255231631298708</v>
      </c>
      <c r="T133" s="32">
        <f t="shared" si="20"/>
        <v>1168.25625</v>
      </c>
      <c r="U133" s="32">
        <f t="shared" si="21"/>
        <v>7.788374999999999</v>
      </c>
      <c r="V133" s="2">
        <f t="shared" si="22"/>
        <v>9346.05</v>
      </c>
      <c r="W133" s="2">
        <f t="shared" si="23"/>
        <v>1427.86875</v>
      </c>
      <c r="X133" s="2">
        <f t="shared" si="24"/>
        <v>15057.525</v>
      </c>
      <c r="Y133" s="2">
        <f t="shared" si="25"/>
        <v>1355.17725</v>
      </c>
      <c r="Z133" s="2">
        <f t="shared" si="26"/>
        <v>361.3806</v>
      </c>
      <c r="AA133" s="2">
        <f t="shared" si="27"/>
        <v>3144.4266</v>
      </c>
      <c r="AB133" s="2">
        <f t="shared" si="28"/>
        <v>20.962843999999997</v>
      </c>
    </row>
    <row r="134" spans="1:28" ht="15">
      <c r="A134" s="30" t="str">
        <f aca="true" t="shared" si="30" ref="A134:A197">+CONCATENATE(B134,C134)</f>
        <v>NT Plant&amp;Pre-Rigid6R-30</v>
      </c>
      <c r="B134" s="47" t="s">
        <v>189</v>
      </c>
      <c r="C134" s="47" t="s">
        <v>99</v>
      </c>
      <c r="D134" s="49">
        <v>15</v>
      </c>
      <c r="E134" s="3">
        <v>6.5</v>
      </c>
      <c r="F134" s="3">
        <v>0.65</v>
      </c>
      <c r="G134" s="84">
        <f t="shared" si="29"/>
        <v>0.1301775147928994</v>
      </c>
      <c r="H134" s="150">
        <v>26201</v>
      </c>
      <c r="I134" s="150">
        <v>45</v>
      </c>
      <c r="J134" s="150">
        <v>45</v>
      </c>
      <c r="K134" s="150">
        <v>8</v>
      </c>
      <c r="L134" s="150">
        <v>150</v>
      </c>
      <c r="M134" s="48">
        <v>0</v>
      </c>
      <c r="N134" s="34">
        <f aca="true" t="shared" si="31" ref="N134:N197">+K134*L134</f>
        <v>1200</v>
      </c>
      <c r="O134" s="28">
        <v>1</v>
      </c>
      <c r="P134" s="41">
        <v>0.27</v>
      </c>
      <c r="Q134" s="41">
        <v>1.4</v>
      </c>
      <c r="R134" s="31">
        <f aca="true" t="shared" si="32" ref="R134:R197">+(P134*H134)*((O134*L134/1000)^Q134)</f>
        <v>496.83180988852916</v>
      </c>
      <c r="S134" s="31">
        <f aca="true" t="shared" si="33" ref="S134:S197">+R134/L134</f>
        <v>3.3122120659235277</v>
      </c>
      <c r="T134" s="32">
        <f aca="true" t="shared" si="34" ref="T134:T197">+(H134*J134/100)/K134</f>
        <v>1473.80625</v>
      </c>
      <c r="U134" s="32">
        <f aca="true" t="shared" si="35" ref="U134:U197">+T134/L134</f>
        <v>9.825375000000001</v>
      </c>
      <c r="V134" s="2">
        <f aca="true" t="shared" si="36" ref="V134:V197">+(H134*I134/100)</f>
        <v>11790.45</v>
      </c>
      <c r="W134" s="2">
        <f aca="true" t="shared" si="37" ref="W134:W197">+(H134-V134)/K134</f>
        <v>1801.31875</v>
      </c>
      <c r="X134" s="2">
        <f aca="true" t="shared" si="38" ref="X134:X197">+(V134+H134)/2</f>
        <v>18995.725</v>
      </c>
      <c r="Y134" s="2">
        <f aca="true" t="shared" si="39" ref="Y134:Y197">+X134*iir</f>
        <v>1709.6152499999998</v>
      </c>
      <c r="Z134" s="2">
        <f aca="true" t="shared" si="40" ref="Z134:Z197">+X134*ins_tax</f>
        <v>455.89739999999995</v>
      </c>
      <c r="AA134" s="2">
        <f aca="true" t="shared" si="41" ref="AA134:AA197">+Z134+Y134+W134</f>
        <v>3966.8313999999996</v>
      </c>
      <c r="AB134" s="2">
        <f aca="true" t="shared" si="42" ref="AB134:AB197">+AA134/L134</f>
        <v>26.445542666666665</v>
      </c>
    </row>
    <row r="135" spans="1:28" ht="15">
      <c r="A135" s="30" t="str">
        <f t="shared" si="30"/>
        <v>NT Plant&amp;Pre-Rigid6R-40</v>
      </c>
      <c r="B135" s="47" t="s">
        <v>189</v>
      </c>
      <c r="C135" s="47" t="s">
        <v>100</v>
      </c>
      <c r="D135" s="49">
        <v>20</v>
      </c>
      <c r="E135" s="3">
        <v>5</v>
      </c>
      <c r="F135" s="3">
        <v>0.65</v>
      </c>
      <c r="G135" s="84">
        <f t="shared" si="29"/>
        <v>0.12692307692307692</v>
      </c>
      <c r="H135" s="150">
        <v>26284</v>
      </c>
      <c r="I135" s="150">
        <v>45</v>
      </c>
      <c r="J135" s="150">
        <v>45</v>
      </c>
      <c r="K135" s="150">
        <v>8</v>
      </c>
      <c r="L135" s="150">
        <v>150</v>
      </c>
      <c r="M135" s="48">
        <v>0</v>
      </c>
      <c r="N135" s="34">
        <f t="shared" si="31"/>
        <v>1200</v>
      </c>
      <c r="O135" s="28">
        <v>1</v>
      </c>
      <c r="P135" s="41">
        <v>0.27</v>
      </c>
      <c r="Q135" s="41">
        <v>1.4</v>
      </c>
      <c r="R135" s="31">
        <f t="shared" si="32"/>
        <v>498.4056826499027</v>
      </c>
      <c r="S135" s="31">
        <f t="shared" si="33"/>
        <v>3.3227045509993514</v>
      </c>
      <c r="T135" s="32">
        <f t="shared" si="34"/>
        <v>1478.475</v>
      </c>
      <c r="U135" s="32">
        <f t="shared" si="35"/>
        <v>9.856499999999999</v>
      </c>
      <c r="V135" s="2">
        <f t="shared" si="36"/>
        <v>11827.8</v>
      </c>
      <c r="W135" s="2">
        <f t="shared" si="37"/>
        <v>1807.025</v>
      </c>
      <c r="X135" s="2">
        <f t="shared" si="38"/>
        <v>19055.9</v>
      </c>
      <c r="Y135" s="2">
        <f t="shared" si="39"/>
        <v>1715.0310000000002</v>
      </c>
      <c r="Z135" s="2">
        <f t="shared" si="40"/>
        <v>457.3416</v>
      </c>
      <c r="AA135" s="2">
        <f t="shared" si="41"/>
        <v>3979.3976000000002</v>
      </c>
      <c r="AB135" s="2">
        <f t="shared" si="42"/>
        <v>26.529317333333335</v>
      </c>
    </row>
    <row r="136" spans="1:28" ht="15">
      <c r="A136" s="30" t="str">
        <f t="shared" si="30"/>
        <v>NT Plant&amp;Pre-Rigid8R-22</v>
      </c>
      <c r="B136" s="47" t="s">
        <v>189</v>
      </c>
      <c r="C136" s="47" t="s">
        <v>192</v>
      </c>
      <c r="D136" s="49">
        <v>14.7</v>
      </c>
      <c r="E136" s="3">
        <v>6.5</v>
      </c>
      <c r="F136" s="3">
        <v>0.65</v>
      </c>
      <c r="G136" s="84">
        <f t="shared" si="29"/>
        <v>0.1328341987682647</v>
      </c>
      <c r="H136" s="150">
        <v>26219</v>
      </c>
      <c r="I136" s="150">
        <v>45</v>
      </c>
      <c r="J136" s="150">
        <v>45</v>
      </c>
      <c r="K136" s="150">
        <v>8</v>
      </c>
      <c r="L136" s="150">
        <v>150</v>
      </c>
      <c r="M136" s="48">
        <v>0</v>
      </c>
      <c r="N136" s="34">
        <f t="shared" si="31"/>
        <v>1200</v>
      </c>
      <c r="O136" s="28">
        <v>1</v>
      </c>
      <c r="P136" s="41">
        <v>0.27</v>
      </c>
      <c r="Q136" s="41">
        <v>1.4</v>
      </c>
      <c r="R136" s="31">
        <f t="shared" si="32"/>
        <v>497.1731316922005</v>
      </c>
      <c r="S136" s="31">
        <f t="shared" si="33"/>
        <v>3.31448754461467</v>
      </c>
      <c r="T136" s="32">
        <f t="shared" si="34"/>
        <v>1474.81875</v>
      </c>
      <c r="U136" s="32">
        <f t="shared" si="35"/>
        <v>9.832125</v>
      </c>
      <c r="V136" s="2">
        <f t="shared" si="36"/>
        <v>11798.55</v>
      </c>
      <c r="W136" s="2">
        <f t="shared" si="37"/>
        <v>1802.55625</v>
      </c>
      <c r="X136" s="2">
        <f t="shared" si="38"/>
        <v>19008.775</v>
      </c>
      <c r="Y136" s="2">
        <f t="shared" si="39"/>
        <v>1710.7897500000001</v>
      </c>
      <c r="Z136" s="2">
        <f t="shared" si="40"/>
        <v>456.21060000000006</v>
      </c>
      <c r="AA136" s="2">
        <f t="shared" si="41"/>
        <v>3969.5566000000003</v>
      </c>
      <c r="AB136" s="2">
        <f t="shared" si="42"/>
        <v>26.463710666666667</v>
      </c>
    </row>
    <row r="137" spans="1:28" ht="15">
      <c r="A137" s="30" t="str">
        <f t="shared" si="30"/>
        <v>NT Plant&amp;Pre-Rigid8R-30</v>
      </c>
      <c r="B137" s="47" t="s">
        <v>189</v>
      </c>
      <c r="C137" s="47" t="s">
        <v>101</v>
      </c>
      <c r="D137" s="49">
        <v>20</v>
      </c>
      <c r="E137" s="3">
        <v>6.5</v>
      </c>
      <c r="F137" s="3">
        <v>0.65</v>
      </c>
      <c r="G137" s="84">
        <f t="shared" si="29"/>
        <v>0.09763313609467456</v>
      </c>
      <c r="H137" s="150">
        <v>31304</v>
      </c>
      <c r="I137" s="150">
        <v>45</v>
      </c>
      <c r="J137" s="150">
        <v>45</v>
      </c>
      <c r="K137" s="150">
        <v>8</v>
      </c>
      <c r="L137" s="150">
        <v>150</v>
      </c>
      <c r="M137" s="48">
        <v>0</v>
      </c>
      <c r="N137" s="34">
        <f t="shared" si="31"/>
        <v>1200</v>
      </c>
      <c r="O137" s="28">
        <v>1</v>
      </c>
      <c r="P137" s="41">
        <v>0.27</v>
      </c>
      <c r="Q137" s="41">
        <v>1.4</v>
      </c>
      <c r="R137" s="31">
        <f t="shared" si="32"/>
        <v>593.5965412293621</v>
      </c>
      <c r="S137" s="31">
        <f t="shared" si="33"/>
        <v>3.957310274862414</v>
      </c>
      <c r="T137" s="32">
        <f t="shared" si="34"/>
        <v>1760.85</v>
      </c>
      <c r="U137" s="32">
        <f t="shared" si="35"/>
        <v>11.738999999999999</v>
      </c>
      <c r="V137" s="2">
        <f t="shared" si="36"/>
        <v>14086.8</v>
      </c>
      <c r="W137" s="2">
        <f t="shared" si="37"/>
        <v>2152.15</v>
      </c>
      <c r="X137" s="2">
        <f t="shared" si="38"/>
        <v>22695.4</v>
      </c>
      <c r="Y137" s="2">
        <f t="shared" si="39"/>
        <v>2042.586</v>
      </c>
      <c r="Z137" s="2">
        <f t="shared" si="40"/>
        <v>544.6896</v>
      </c>
      <c r="AA137" s="2">
        <f t="shared" si="41"/>
        <v>4739.4256000000005</v>
      </c>
      <c r="AB137" s="2">
        <f t="shared" si="42"/>
        <v>31.59617066666667</v>
      </c>
    </row>
    <row r="138" spans="1:28" ht="15">
      <c r="A138" s="30" t="str">
        <f t="shared" si="30"/>
        <v>NT Plant&amp;Pre-Rigid8R-40</v>
      </c>
      <c r="B138" s="47" t="s">
        <v>189</v>
      </c>
      <c r="C138" s="47" t="s">
        <v>102</v>
      </c>
      <c r="D138" s="49">
        <v>26.7</v>
      </c>
      <c r="E138" s="3">
        <v>6.5</v>
      </c>
      <c r="F138" s="3">
        <v>0.65</v>
      </c>
      <c r="G138" s="84">
        <f t="shared" si="29"/>
        <v>0.07313343527690978</v>
      </c>
      <c r="H138" s="150">
        <v>30886</v>
      </c>
      <c r="I138" s="150">
        <v>45</v>
      </c>
      <c r="J138" s="150">
        <v>45</v>
      </c>
      <c r="K138" s="150">
        <v>8</v>
      </c>
      <c r="L138" s="150">
        <v>150</v>
      </c>
      <c r="M138" s="48">
        <v>0</v>
      </c>
      <c r="N138" s="34">
        <f t="shared" si="31"/>
        <v>1200</v>
      </c>
      <c r="O138" s="28">
        <v>1</v>
      </c>
      <c r="P138" s="41">
        <v>0.27</v>
      </c>
      <c r="Q138" s="41">
        <v>1.4</v>
      </c>
      <c r="R138" s="31">
        <f t="shared" si="32"/>
        <v>585.670290455216</v>
      </c>
      <c r="S138" s="31">
        <f t="shared" si="33"/>
        <v>3.9044686030347733</v>
      </c>
      <c r="T138" s="32">
        <f t="shared" si="34"/>
        <v>1737.3375</v>
      </c>
      <c r="U138" s="32">
        <f t="shared" si="35"/>
        <v>11.58225</v>
      </c>
      <c r="V138" s="2">
        <f t="shared" si="36"/>
        <v>13898.7</v>
      </c>
      <c r="W138" s="2">
        <f t="shared" si="37"/>
        <v>2123.4125</v>
      </c>
      <c r="X138" s="2">
        <f t="shared" si="38"/>
        <v>22392.35</v>
      </c>
      <c r="Y138" s="2">
        <f t="shared" si="39"/>
        <v>2015.3114999999998</v>
      </c>
      <c r="Z138" s="2">
        <f t="shared" si="40"/>
        <v>537.4164</v>
      </c>
      <c r="AA138" s="2">
        <f t="shared" si="41"/>
        <v>4676.1404</v>
      </c>
      <c r="AB138" s="2">
        <f t="shared" si="42"/>
        <v>31.174269333333335</v>
      </c>
    </row>
    <row r="139" spans="1:28" ht="15">
      <c r="A139" s="30" t="str">
        <f t="shared" si="30"/>
        <v>NT Plant-Folding10R-30</v>
      </c>
      <c r="B139" s="47" t="s">
        <v>202</v>
      </c>
      <c r="C139" s="47" t="s">
        <v>103</v>
      </c>
      <c r="D139" s="49">
        <v>25</v>
      </c>
      <c r="E139" s="3">
        <v>6.75</v>
      </c>
      <c r="F139" s="3">
        <v>0.65</v>
      </c>
      <c r="G139" s="84">
        <f aca="true" t="shared" si="43" ref="G139:G170">1/((D139*E139*5280*F139)/43560)</f>
        <v>0.07521367521367521</v>
      </c>
      <c r="H139" s="150">
        <v>46899</v>
      </c>
      <c r="I139" s="150">
        <v>45</v>
      </c>
      <c r="J139" s="150">
        <v>45</v>
      </c>
      <c r="K139" s="150">
        <v>8</v>
      </c>
      <c r="L139" s="150">
        <v>150</v>
      </c>
      <c r="M139" s="48">
        <v>0</v>
      </c>
      <c r="N139" s="34">
        <f t="shared" si="31"/>
        <v>1200</v>
      </c>
      <c r="O139" s="28">
        <v>1</v>
      </c>
      <c r="P139" s="41">
        <v>0.27</v>
      </c>
      <c r="Q139" s="41">
        <v>1.4</v>
      </c>
      <c r="R139" s="31">
        <f t="shared" si="32"/>
        <v>889.3139594657506</v>
      </c>
      <c r="S139" s="31">
        <f t="shared" si="33"/>
        <v>5.928759729771671</v>
      </c>
      <c r="T139" s="32">
        <f t="shared" si="34"/>
        <v>2638.06875</v>
      </c>
      <c r="U139" s="32">
        <f t="shared" si="35"/>
        <v>17.587125</v>
      </c>
      <c r="V139" s="2">
        <f t="shared" si="36"/>
        <v>21104.55</v>
      </c>
      <c r="W139" s="2">
        <f t="shared" si="37"/>
        <v>3224.30625</v>
      </c>
      <c r="X139" s="2">
        <f t="shared" si="38"/>
        <v>34001.775</v>
      </c>
      <c r="Y139" s="2">
        <f t="shared" si="39"/>
        <v>3060.15975</v>
      </c>
      <c r="Z139" s="2">
        <f t="shared" si="40"/>
        <v>816.0426000000001</v>
      </c>
      <c r="AA139" s="2">
        <f t="shared" si="41"/>
        <v>7100.5086</v>
      </c>
      <c r="AB139" s="2">
        <f t="shared" si="42"/>
        <v>47.336724000000004</v>
      </c>
    </row>
    <row r="140" spans="1:28" ht="15">
      <c r="A140" s="30" t="str">
        <f t="shared" si="30"/>
        <v>NT Plant-Folding10R-40</v>
      </c>
      <c r="B140" s="47" t="s">
        <v>202</v>
      </c>
      <c r="C140" s="47" t="s">
        <v>104</v>
      </c>
      <c r="D140" s="49">
        <v>33.3</v>
      </c>
      <c r="E140" s="3">
        <v>6.75</v>
      </c>
      <c r="F140" s="3">
        <v>0.65</v>
      </c>
      <c r="G140" s="84">
        <f t="shared" si="43"/>
        <v>0.05646672313338981</v>
      </c>
      <c r="H140" s="150">
        <v>47457</v>
      </c>
      <c r="I140" s="150">
        <v>45</v>
      </c>
      <c r="J140" s="150">
        <v>45</v>
      </c>
      <c r="K140" s="150">
        <v>8</v>
      </c>
      <c r="L140" s="150">
        <v>150</v>
      </c>
      <c r="M140" s="48">
        <v>0</v>
      </c>
      <c r="N140" s="34">
        <f t="shared" si="31"/>
        <v>1200</v>
      </c>
      <c r="O140" s="28">
        <v>1</v>
      </c>
      <c r="P140" s="41">
        <v>0.27</v>
      </c>
      <c r="Q140" s="41">
        <v>1.4</v>
      </c>
      <c r="R140" s="31">
        <f t="shared" si="32"/>
        <v>899.894935379563</v>
      </c>
      <c r="S140" s="31">
        <f t="shared" si="33"/>
        <v>5.9992995691970865</v>
      </c>
      <c r="T140" s="32">
        <f t="shared" si="34"/>
        <v>2669.45625</v>
      </c>
      <c r="U140" s="32">
        <f t="shared" si="35"/>
        <v>17.796375</v>
      </c>
      <c r="V140" s="2">
        <f t="shared" si="36"/>
        <v>21355.65</v>
      </c>
      <c r="W140" s="2">
        <f t="shared" si="37"/>
        <v>3262.66875</v>
      </c>
      <c r="X140" s="2">
        <f t="shared" si="38"/>
        <v>34406.325</v>
      </c>
      <c r="Y140" s="2">
        <f t="shared" si="39"/>
        <v>3096.5692499999996</v>
      </c>
      <c r="Z140" s="2">
        <f t="shared" si="40"/>
        <v>825.7518</v>
      </c>
      <c r="AA140" s="2">
        <f t="shared" si="41"/>
        <v>7184.989799999999</v>
      </c>
      <c r="AB140" s="2">
        <f t="shared" si="42"/>
        <v>47.89993199999999</v>
      </c>
    </row>
    <row r="141" spans="1:28" ht="15">
      <c r="A141" s="30" t="str">
        <f t="shared" si="30"/>
        <v>NT Plant-Folding12R-20</v>
      </c>
      <c r="B141" s="47" t="s">
        <v>202</v>
      </c>
      <c r="C141" s="47" t="s">
        <v>130</v>
      </c>
      <c r="D141" s="49">
        <v>20</v>
      </c>
      <c r="E141" s="3">
        <v>6.75</v>
      </c>
      <c r="F141" s="3">
        <v>0.65</v>
      </c>
      <c r="G141" s="84">
        <f t="shared" si="43"/>
        <v>0.09401709401709402</v>
      </c>
      <c r="H141" s="150">
        <v>45801</v>
      </c>
      <c r="I141" s="150">
        <v>45</v>
      </c>
      <c r="J141" s="150">
        <v>45</v>
      </c>
      <c r="K141" s="150">
        <v>8</v>
      </c>
      <c r="L141" s="150">
        <v>150</v>
      </c>
      <c r="M141" s="48">
        <v>0</v>
      </c>
      <c r="N141" s="34">
        <f t="shared" si="31"/>
        <v>1200</v>
      </c>
      <c r="O141" s="28">
        <v>1</v>
      </c>
      <c r="P141" s="41">
        <v>0.27</v>
      </c>
      <c r="Q141" s="41">
        <v>1.4</v>
      </c>
      <c r="R141" s="31">
        <f t="shared" si="32"/>
        <v>868.493329441797</v>
      </c>
      <c r="S141" s="31">
        <f t="shared" si="33"/>
        <v>5.78995552961198</v>
      </c>
      <c r="T141" s="32">
        <f t="shared" si="34"/>
        <v>2576.30625</v>
      </c>
      <c r="U141" s="32">
        <f t="shared" si="35"/>
        <v>17.175375</v>
      </c>
      <c r="V141" s="2">
        <f t="shared" si="36"/>
        <v>20610.45</v>
      </c>
      <c r="W141" s="2">
        <f t="shared" si="37"/>
        <v>3148.81875</v>
      </c>
      <c r="X141" s="2">
        <f t="shared" si="38"/>
        <v>33205.725</v>
      </c>
      <c r="Y141" s="2">
        <f t="shared" si="39"/>
        <v>2988.51525</v>
      </c>
      <c r="Z141" s="2">
        <f t="shared" si="40"/>
        <v>796.9374</v>
      </c>
      <c r="AA141" s="2">
        <f t="shared" si="41"/>
        <v>6934.2714</v>
      </c>
      <c r="AB141" s="2">
        <f t="shared" si="42"/>
        <v>46.228476</v>
      </c>
    </row>
    <row r="142" spans="1:28" ht="15">
      <c r="A142" s="30" t="str">
        <f t="shared" si="30"/>
        <v>NT Plant-Folding12R-30</v>
      </c>
      <c r="B142" s="47" t="s">
        <v>202</v>
      </c>
      <c r="C142" s="47" t="s">
        <v>213</v>
      </c>
      <c r="D142" s="49">
        <v>30</v>
      </c>
      <c r="E142" s="3">
        <v>6.75</v>
      </c>
      <c r="F142" s="3">
        <v>0.65</v>
      </c>
      <c r="G142" s="84">
        <f t="shared" si="43"/>
        <v>0.06267806267806268</v>
      </c>
      <c r="H142" s="150">
        <v>52061</v>
      </c>
      <c r="I142" s="150">
        <v>45</v>
      </c>
      <c r="J142" s="150">
        <v>45</v>
      </c>
      <c r="K142" s="150">
        <v>8</v>
      </c>
      <c r="L142" s="150">
        <v>150</v>
      </c>
      <c r="M142" s="48">
        <v>0</v>
      </c>
      <c r="N142" s="34">
        <f t="shared" si="31"/>
        <v>1200</v>
      </c>
      <c r="O142" s="28">
        <v>1</v>
      </c>
      <c r="P142" s="41">
        <v>0.27</v>
      </c>
      <c r="Q142" s="41">
        <v>1.4</v>
      </c>
      <c r="R142" s="31">
        <f t="shared" si="32"/>
        <v>987.1974678297286</v>
      </c>
      <c r="S142" s="31">
        <f t="shared" si="33"/>
        <v>6.58131645219819</v>
      </c>
      <c r="T142" s="32">
        <f t="shared" si="34"/>
        <v>2928.43125</v>
      </c>
      <c r="U142" s="32">
        <f t="shared" si="35"/>
        <v>19.522875</v>
      </c>
      <c r="V142" s="2">
        <f t="shared" si="36"/>
        <v>23427.45</v>
      </c>
      <c r="W142" s="2">
        <f t="shared" si="37"/>
        <v>3579.19375</v>
      </c>
      <c r="X142" s="2">
        <f t="shared" si="38"/>
        <v>37744.225</v>
      </c>
      <c r="Y142" s="2">
        <f t="shared" si="39"/>
        <v>3396.9802499999996</v>
      </c>
      <c r="Z142" s="2">
        <f t="shared" si="40"/>
        <v>905.8614</v>
      </c>
      <c r="AA142" s="2">
        <f t="shared" si="41"/>
        <v>7882.035399999999</v>
      </c>
      <c r="AB142" s="2">
        <f t="shared" si="42"/>
        <v>52.54690266666666</v>
      </c>
    </row>
    <row r="143" spans="1:28" ht="15">
      <c r="A143" s="30" t="str">
        <f t="shared" si="30"/>
        <v>NT Plant-Folding12R-40</v>
      </c>
      <c r="B143" s="47" t="s">
        <v>202</v>
      </c>
      <c r="C143" s="47" t="s">
        <v>114</v>
      </c>
      <c r="D143" s="49">
        <v>40</v>
      </c>
      <c r="E143" s="3">
        <v>6.75</v>
      </c>
      <c r="F143" s="3">
        <v>0.65</v>
      </c>
      <c r="G143" s="84">
        <f t="shared" si="43"/>
        <v>0.04700854700854701</v>
      </c>
      <c r="H143" s="150">
        <v>49576</v>
      </c>
      <c r="I143" s="150">
        <v>45</v>
      </c>
      <c r="J143" s="150">
        <v>45</v>
      </c>
      <c r="K143" s="150">
        <v>8</v>
      </c>
      <c r="L143" s="150">
        <v>150</v>
      </c>
      <c r="M143" s="48">
        <v>0</v>
      </c>
      <c r="N143" s="34">
        <f t="shared" si="31"/>
        <v>1200</v>
      </c>
      <c r="O143" s="28">
        <v>1</v>
      </c>
      <c r="P143" s="41">
        <v>0.27</v>
      </c>
      <c r="Q143" s="41">
        <v>1.4</v>
      </c>
      <c r="R143" s="31">
        <f t="shared" si="32"/>
        <v>940.0760966006534</v>
      </c>
      <c r="S143" s="31">
        <f t="shared" si="33"/>
        <v>6.2671739773376895</v>
      </c>
      <c r="T143" s="32">
        <f t="shared" si="34"/>
        <v>2788.65</v>
      </c>
      <c r="U143" s="32">
        <f t="shared" si="35"/>
        <v>18.591</v>
      </c>
      <c r="V143" s="2">
        <f t="shared" si="36"/>
        <v>22309.2</v>
      </c>
      <c r="W143" s="2">
        <f t="shared" si="37"/>
        <v>3408.35</v>
      </c>
      <c r="X143" s="2">
        <f t="shared" si="38"/>
        <v>35942.6</v>
      </c>
      <c r="Y143" s="2">
        <f t="shared" si="39"/>
        <v>3234.834</v>
      </c>
      <c r="Z143" s="2">
        <f t="shared" si="40"/>
        <v>862.6224</v>
      </c>
      <c r="AA143" s="2">
        <f t="shared" si="41"/>
        <v>7505.8063999999995</v>
      </c>
      <c r="AB143" s="2">
        <f t="shared" si="42"/>
        <v>50.03870933333333</v>
      </c>
    </row>
    <row r="144" spans="1:28" ht="15">
      <c r="A144" s="30" t="str">
        <f t="shared" si="30"/>
        <v>NT Plant-Folding16R-30</v>
      </c>
      <c r="B144" s="47" t="s">
        <v>202</v>
      </c>
      <c r="C144" s="47" t="s">
        <v>222</v>
      </c>
      <c r="D144" s="49">
        <v>40</v>
      </c>
      <c r="E144" s="3">
        <v>6.75</v>
      </c>
      <c r="F144" s="3">
        <v>0.65</v>
      </c>
      <c r="G144" s="84">
        <f t="shared" si="43"/>
        <v>0.04700854700854701</v>
      </c>
      <c r="H144" s="150">
        <v>72476</v>
      </c>
      <c r="I144" s="150">
        <v>45</v>
      </c>
      <c r="J144" s="150">
        <v>45</v>
      </c>
      <c r="K144" s="150">
        <v>8</v>
      </c>
      <c r="L144" s="150">
        <v>150</v>
      </c>
      <c r="M144" s="48">
        <v>0</v>
      </c>
      <c r="N144" s="34">
        <f t="shared" si="31"/>
        <v>1200</v>
      </c>
      <c r="O144" s="28">
        <v>1</v>
      </c>
      <c r="P144" s="41">
        <v>0.27</v>
      </c>
      <c r="Q144" s="41">
        <v>1.4</v>
      </c>
      <c r="R144" s="31">
        <f t="shared" si="32"/>
        <v>1374.3132801603388</v>
      </c>
      <c r="S144" s="31">
        <f t="shared" si="33"/>
        <v>9.162088534402258</v>
      </c>
      <c r="T144" s="32">
        <f t="shared" si="34"/>
        <v>4076.775</v>
      </c>
      <c r="U144" s="32">
        <f t="shared" si="35"/>
        <v>27.1785</v>
      </c>
      <c r="V144" s="2">
        <f t="shared" si="36"/>
        <v>32614.2</v>
      </c>
      <c r="W144" s="2">
        <f t="shared" si="37"/>
        <v>4982.725</v>
      </c>
      <c r="X144" s="2">
        <f t="shared" si="38"/>
        <v>52545.1</v>
      </c>
      <c r="Y144" s="2">
        <f t="shared" si="39"/>
        <v>4729.058999999999</v>
      </c>
      <c r="Z144" s="2">
        <f t="shared" si="40"/>
        <v>1261.0824</v>
      </c>
      <c r="AA144" s="2">
        <f t="shared" si="41"/>
        <v>10972.866399999999</v>
      </c>
      <c r="AB144" s="2">
        <f t="shared" si="42"/>
        <v>73.15244266666666</v>
      </c>
    </row>
    <row r="145" spans="1:28" ht="15">
      <c r="A145" s="30" t="str">
        <f t="shared" si="30"/>
        <v>NT Plant-Folding23R-15</v>
      </c>
      <c r="B145" s="47" t="s">
        <v>202</v>
      </c>
      <c r="C145" s="47" t="s">
        <v>225</v>
      </c>
      <c r="D145" s="49">
        <v>28.8</v>
      </c>
      <c r="E145" s="3">
        <v>6.75</v>
      </c>
      <c r="F145" s="3">
        <v>0.65</v>
      </c>
      <c r="G145" s="84">
        <f t="shared" si="43"/>
        <v>0.06528964862298195</v>
      </c>
      <c r="H145" s="150">
        <v>84142</v>
      </c>
      <c r="I145" s="150">
        <v>45</v>
      </c>
      <c r="J145" s="150">
        <v>45</v>
      </c>
      <c r="K145" s="150">
        <v>8</v>
      </c>
      <c r="L145" s="150">
        <v>150</v>
      </c>
      <c r="M145" s="48">
        <v>0</v>
      </c>
      <c r="N145" s="34">
        <f t="shared" si="31"/>
        <v>1200</v>
      </c>
      <c r="O145" s="28">
        <v>1</v>
      </c>
      <c r="P145" s="41">
        <v>0.27</v>
      </c>
      <c r="Q145" s="41">
        <v>1.4</v>
      </c>
      <c r="R145" s="31">
        <f t="shared" si="32"/>
        <v>1595.527733584238</v>
      </c>
      <c r="S145" s="31">
        <f t="shared" si="33"/>
        <v>10.636851557228253</v>
      </c>
      <c r="T145" s="32">
        <f t="shared" si="34"/>
        <v>4732.9875</v>
      </c>
      <c r="U145" s="32">
        <f t="shared" si="35"/>
        <v>31.553250000000002</v>
      </c>
      <c r="V145" s="2">
        <f t="shared" si="36"/>
        <v>37863.9</v>
      </c>
      <c r="W145" s="2">
        <f t="shared" si="37"/>
        <v>5784.7625</v>
      </c>
      <c r="X145" s="2">
        <f t="shared" si="38"/>
        <v>61002.95</v>
      </c>
      <c r="Y145" s="2">
        <f t="shared" si="39"/>
        <v>5490.2654999999995</v>
      </c>
      <c r="Z145" s="2">
        <f t="shared" si="40"/>
        <v>1464.0708</v>
      </c>
      <c r="AA145" s="2">
        <f t="shared" si="41"/>
        <v>12739.0988</v>
      </c>
      <c r="AB145" s="2">
        <f t="shared" si="42"/>
        <v>84.92732533333333</v>
      </c>
    </row>
    <row r="146" spans="1:28" ht="15">
      <c r="A146" s="30" t="str">
        <f t="shared" si="30"/>
        <v>NT Plant-Folding24R-20</v>
      </c>
      <c r="B146" s="47" t="s">
        <v>202</v>
      </c>
      <c r="C146" s="47" t="s">
        <v>223</v>
      </c>
      <c r="D146" s="49">
        <v>40</v>
      </c>
      <c r="E146" s="3">
        <v>6.75</v>
      </c>
      <c r="F146" s="3">
        <v>0.65</v>
      </c>
      <c r="G146" s="84">
        <f t="shared" si="43"/>
        <v>0.04700854700854701</v>
      </c>
      <c r="H146" s="150">
        <v>99344</v>
      </c>
      <c r="I146" s="150">
        <v>45</v>
      </c>
      <c r="J146" s="150">
        <v>45</v>
      </c>
      <c r="K146" s="150">
        <v>8</v>
      </c>
      <c r="L146" s="150">
        <v>150</v>
      </c>
      <c r="M146" s="48">
        <v>0</v>
      </c>
      <c r="N146" s="34">
        <f t="shared" si="31"/>
        <v>1200</v>
      </c>
      <c r="O146" s="28">
        <v>1</v>
      </c>
      <c r="P146" s="41">
        <v>0.27</v>
      </c>
      <c r="Q146" s="41">
        <v>1.4</v>
      </c>
      <c r="R146" s="31">
        <f t="shared" si="32"/>
        <v>1883.7929591071347</v>
      </c>
      <c r="S146" s="31">
        <f t="shared" si="33"/>
        <v>12.558619727380899</v>
      </c>
      <c r="T146" s="32">
        <f t="shared" si="34"/>
        <v>5588.1</v>
      </c>
      <c r="U146" s="32">
        <f t="shared" si="35"/>
        <v>37.254000000000005</v>
      </c>
      <c r="V146" s="2">
        <f t="shared" si="36"/>
        <v>44704.8</v>
      </c>
      <c r="W146" s="2">
        <f t="shared" si="37"/>
        <v>6829.9</v>
      </c>
      <c r="X146" s="2">
        <f t="shared" si="38"/>
        <v>72024.4</v>
      </c>
      <c r="Y146" s="2">
        <f t="shared" si="39"/>
        <v>6482.195999999999</v>
      </c>
      <c r="Z146" s="2">
        <f t="shared" si="40"/>
        <v>1728.5855999999999</v>
      </c>
      <c r="AA146" s="2">
        <f t="shared" si="41"/>
        <v>15040.681599999998</v>
      </c>
      <c r="AB146" s="2">
        <f t="shared" si="42"/>
        <v>100.27121066666665</v>
      </c>
    </row>
    <row r="147" spans="1:28" ht="15">
      <c r="A147" s="30" t="str">
        <f t="shared" si="30"/>
        <v>NT Plant-Folding24R-30</v>
      </c>
      <c r="B147" s="47" t="s">
        <v>202</v>
      </c>
      <c r="C147" s="47" t="s">
        <v>224</v>
      </c>
      <c r="D147" s="49">
        <v>60</v>
      </c>
      <c r="E147" s="3">
        <v>6.75</v>
      </c>
      <c r="F147" s="3">
        <v>0.65</v>
      </c>
      <c r="G147" s="84">
        <f t="shared" si="43"/>
        <v>0.03133903133903134</v>
      </c>
      <c r="H147" s="150">
        <v>108974</v>
      </c>
      <c r="I147" s="150">
        <v>45</v>
      </c>
      <c r="J147" s="150">
        <v>45</v>
      </c>
      <c r="K147" s="150">
        <v>8</v>
      </c>
      <c r="L147" s="150">
        <v>150</v>
      </c>
      <c r="M147" s="48">
        <v>0</v>
      </c>
      <c r="N147" s="34">
        <f t="shared" si="31"/>
        <v>1200</v>
      </c>
      <c r="O147" s="28">
        <v>1</v>
      </c>
      <c r="P147" s="41">
        <v>0.27</v>
      </c>
      <c r="Q147" s="41">
        <v>1.4</v>
      </c>
      <c r="R147" s="31">
        <f t="shared" si="32"/>
        <v>2066.400124071317</v>
      </c>
      <c r="S147" s="31">
        <f t="shared" si="33"/>
        <v>13.776000827142113</v>
      </c>
      <c r="T147" s="32">
        <f t="shared" si="34"/>
        <v>6129.7875</v>
      </c>
      <c r="U147" s="32">
        <f t="shared" si="35"/>
        <v>40.86525</v>
      </c>
      <c r="V147" s="2">
        <f t="shared" si="36"/>
        <v>49038.3</v>
      </c>
      <c r="W147" s="2">
        <f t="shared" si="37"/>
        <v>7491.9625</v>
      </c>
      <c r="X147" s="2">
        <f t="shared" si="38"/>
        <v>79006.15</v>
      </c>
      <c r="Y147" s="2">
        <f t="shared" si="39"/>
        <v>7110.553499999999</v>
      </c>
      <c r="Z147" s="2">
        <f t="shared" si="40"/>
        <v>1896.1476</v>
      </c>
      <c r="AA147" s="2">
        <f t="shared" si="41"/>
        <v>16498.6636</v>
      </c>
      <c r="AB147" s="2">
        <f t="shared" si="42"/>
        <v>109.99109066666666</v>
      </c>
    </row>
    <row r="148" spans="1:28" ht="15">
      <c r="A148" s="30" t="str">
        <f t="shared" si="30"/>
        <v>NT Plant-Folding8R-40</v>
      </c>
      <c r="B148" s="47" t="s">
        <v>202</v>
      </c>
      <c r="C148" s="47" t="s">
        <v>102</v>
      </c>
      <c r="D148" s="49">
        <v>26.7</v>
      </c>
      <c r="E148" s="3">
        <v>6.75</v>
      </c>
      <c r="F148" s="3">
        <v>0.65</v>
      </c>
      <c r="G148" s="84">
        <f t="shared" si="43"/>
        <v>0.07042478952591312</v>
      </c>
      <c r="H148" s="150">
        <v>34244</v>
      </c>
      <c r="I148" s="150">
        <v>45</v>
      </c>
      <c r="J148" s="150">
        <v>45</v>
      </c>
      <c r="K148" s="150">
        <v>8</v>
      </c>
      <c r="L148" s="150">
        <v>150</v>
      </c>
      <c r="M148" s="48">
        <v>0</v>
      </c>
      <c r="N148" s="34">
        <f t="shared" si="31"/>
        <v>1200</v>
      </c>
      <c r="O148" s="28">
        <v>1</v>
      </c>
      <c r="P148" s="41">
        <v>0.27</v>
      </c>
      <c r="Q148" s="41">
        <v>1.4</v>
      </c>
      <c r="R148" s="31">
        <f t="shared" si="32"/>
        <v>649.3457691623523</v>
      </c>
      <c r="S148" s="31">
        <f t="shared" si="33"/>
        <v>4.328971794415682</v>
      </c>
      <c r="T148" s="32">
        <f t="shared" si="34"/>
        <v>1926.225</v>
      </c>
      <c r="U148" s="32">
        <f t="shared" si="35"/>
        <v>12.8415</v>
      </c>
      <c r="V148" s="2">
        <f t="shared" si="36"/>
        <v>15409.8</v>
      </c>
      <c r="W148" s="2">
        <f t="shared" si="37"/>
        <v>2354.275</v>
      </c>
      <c r="X148" s="2">
        <f t="shared" si="38"/>
        <v>24826.9</v>
      </c>
      <c r="Y148" s="2">
        <f t="shared" si="39"/>
        <v>2234.421</v>
      </c>
      <c r="Z148" s="2">
        <f t="shared" si="40"/>
        <v>595.8456000000001</v>
      </c>
      <c r="AA148" s="2">
        <f t="shared" si="41"/>
        <v>5184.5416000000005</v>
      </c>
      <c r="AB148" s="2">
        <f t="shared" si="42"/>
        <v>34.56361066666667</v>
      </c>
    </row>
    <row r="149" spans="1:28" ht="15">
      <c r="A149" s="30" t="str">
        <f t="shared" si="30"/>
        <v>NT Plant-Folding8R-40 2x1</v>
      </c>
      <c r="B149" s="47" t="s">
        <v>202</v>
      </c>
      <c r="C149" s="47" t="s">
        <v>113</v>
      </c>
      <c r="D149" s="49">
        <v>40</v>
      </c>
      <c r="E149" s="3">
        <v>6.75</v>
      </c>
      <c r="F149" s="3">
        <v>0.65</v>
      </c>
      <c r="G149" s="84">
        <f t="shared" si="43"/>
        <v>0.04700854700854701</v>
      </c>
      <c r="H149" s="150">
        <v>49576</v>
      </c>
      <c r="I149" s="150">
        <v>45</v>
      </c>
      <c r="J149" s="150">
        <v>45</v>
      </c>
      <c r="K149" s="150">
        <v>8</v>
      </c>
      <c r="L149" s="150">
        <v>150</v>
      </c>
      <c r="M149" s="48">
        <v>0</v>
      </c>
      <c r="N149" s="34">
        <f t="shared" si="31"/>
        <v>1200</v>
      </c>
      <c r="O149" s="28">
        <v>1</v>
      </c>
      <c r="P149" s="41">
        <v>0.27</v>
      </c>
      <c r="Q149" s="41">
        <v>1.4</v>
      </c>
      <c r="R149" s="31">
        <f t="shared" si="32"/>
        <v>940.0760966006534</v>
      </c>
      <c r="S149" s="31">
        <f t="shared" si="33"/>
        <v>6.2671739773376895</v>
      </c>
      <c r="T149" s="32">
        <f t="shared" si="34"/>
        <v>2788.65</v>
      </c>
      <c r="U149" s="32">
        <f t="shared" si="35"/>
        <v>18.591</v>
      </c>
      <c r="V149" s="2">
        <f t="shared" si="36"/>
        <v>22309.2</v>
      </c>
      <c r="W149" s="2">
        <f t="shared" si="37"/>
        <v>3408.35</v>
      </c>
      <c r="X149" s="2">
        <f t="shared" si="38"/>
        <v>35942.6</v>
      </c>
      <c r="Y149" s="2">
        <f t="shared" si="39"/>
        <v>3234.834</v>
      </c>
      <c r="Z149" s="2">
        <f t="shared" si="40"/>
        <v>862.6224</v>
      </c>
      <c r="AA149" s="2">
        <f t="shared" si="41"/>
        <v>7505.8063999999995</v>
      </c>
      <c r="AB149" s="2">
        <f t="shared" si="42"/>
        <v>50.03870933333333</v>
      </c>
    </row>
    <row r="150" spans="1:28" ht="15">
      <c r="A150" s="30" t="str">
        <f t="shared" si="30"/>
        <v>NT Plant-Rigid10R-30</v>
      </c>
      <c r="B150" s="47" t="s">
        <v>188</v>
      </c>
      <c r="C150" s="47" t="s">
        <v>103</v>
      </c>
      <c r="D150" s="49">
        <v>25</v>
      </c>
      <c r="E150" s="3">
        <v>6.75</v>
      </c>
      <c r="F150" s="3">
        <v>0.65</v>
      </c>
      <c r="G150" s="84">
        <f t="shared" si="43"/>
        <v>0.07521367521367521</v>
      </c>
      <c r="H150" s="150">
        <v>28336</v>
      </c>
      <c r="I150" s="150">
        <v>45</v>
      </c>
      <c r="J150" s="150">
        <v>45</v>
      </c>
      <c r="K150" s="150">
        <v>8</v>
      </c>
      <c r="L150" s="150">
        <v>150</v>
      </c>
      <c r="M150" s="48">
        <v>0</v>
      </c>
      <c r="N150" s="34">
        <f t="shared" si="31"/>
        <v>1200</v>
      </c>
      <c r="O150" s="28">
        <v>1</v>
      </c>
      <c r="P150" s="41">
        <v>0.27</v>
      </c>
      <c r="Q150" s="41">
        <v>1.4</v>
      </c>
      <c r="R150" s="31">
        <f t="shared" si="32"/>
        <v>537.3163682684386</v>
      </c>
      <c r="S150" s="31">
        <f t="shared" si="33"/>
        <v>3.582109121789591</v>
      </c>
      <c r="T150" s="32">
        <f t="shared" si="34"/>
        <v>1593.9</v>
      </c>
      <c r="U150" s="32">
        <f t="shared" si="35"/>
        <v>10.626000000000001</v>
      </c>
      <c r="V150" s="2">
        <f t="shared" si="36"/>
        <v>12751.2</v>
      </c>
      <c r="W150" s="2">
        <f t="shared" si="37"/>
        <v>1948.1</v>
      </c>
      <c r="X150" s="2">
        <f t="shared" si="38"/>
        <v>20543.6</v>
      </c>
      <c r="Y150" s="2">
        <f t="shared" si="39"/>
        <v>1848.9239999999998</v>
      </c>
      <c r="Z150" s="2">
        <f t="shared" si="40"/>
        <v>493.04639999999995</v>
      </c>
      <c r="AA150" s="2">
        <f t="shared" si="41"/>
        <v>4290.0704</v>
      </c>
      <c r="AB150" s="2">
        <f t="shared" si="42"/>
        <v>28.60046933333333</v>
      </c>
    </row>
    <row r="151" spans="1:28" ht="15">
      <c r="A151" s="30" t="str">
        <f t="shared" si="30"/>
        <v>NT Plant-Rigid12R-20</v>
      </c>
      <c r="B151" s="47" t="s">
        <v>188</v>
      </c>
      <c r="C151" s="47" t="s">
        <v>130</v>
      </c>
      <c r="D151" s="49">
        <v>20</v>
      </c>
      <c r="E151" s="3">
        <v>6.75</v>
      </c>
      <c r="F151" s="3">
        <v>0.65</v>
      </c>
      <c r="G151" s="84">
        <f t="shared" si="43"/>
        <v>0.09401709401709402</v>
      </c>
      <c r="H151" s="150">
        <v>33589</v>
      </c>
      <c r="I151" s="150">
        <v>45</v>
      </c>
      <c r="J151" s="150">
        <v>45</v>
      </c>
      <c r="K151" s="150">
        <v>8</v>
      </c>
      <c r="L151" s="150">
        <v>150</v>
      </c>
      <c r="M151" s="48">
        <v>0</v>
      </c>
      <c r="N151" s="34">
        <f t="shared" si="31"/>
        <v>1200</v>
      </c>
      <c r="O151" s="28">
        <v>1</v>
      </c>
      <c r="P151" s="41">
        <v>0.27</v>
      </c>
      <c r="Q151" s="41">
        <v>1.4</v>
      </c>
      <c r="R151" s="31">
        <f t="shared" si="32"/>
        <v>636.9254479731998</v>
      </c>
      <c r="S151" s="31">
        <f t="shared" si="33"/>
        <v>4.2461696531546655</v>
      </c>
      <c r="T151" s="32">
        <f t="shared" si="34"/>
        <v>1889.38125</v>
      </c>
      <c r="U151" s="32">
        <f t="shared" si="35"/>
        <v>12.595875</v>
      </c>
      <c r="V151" s="2">
        <f t="shared" si="36"/>
        <v>15115.05</v>
      </c>
      <c r="W151" s="2">
        <f t="shared" si="37"/>
        <v>2309.24375</v>
      </c>
      <c r="X151" s="2">
        <f t="shared" si="38"/>
        <v>24352.025</v>
      </c>
      <c r="Y151" s="2">
        <f t="shared" si="39"/>
        <v>2191.68225</v>
      </c>
      <c r="Z151" s="2">
        <f t="shared" si="40"/>
        <v>584.4486</v>
      </c>
      <c r="AA151" s="2">
        <f t="shared" si="41"/>
        <v>5085.3746</v>
      </c>
      <c r="AB151" s="2">
        <f t="shared" si="42"/>
        <v>33.902497333333336</v>
      </c>
    </row>
    <row r="152" spans="1:28" ht="15">
      <c r="A152" s="30" t="str">
        <f t="shared" si="30"/>
        <v>NT Plant-Rigid12R-30</v>
      </c>
      <c r="B152" s="47" t="s">
        <v>188</v>
      </c>
      <c r="C152" s="47" t="s">
        <v>213</v>
      </c>
      <c r="D152" s="49">
        <v>30</v>
      </c>
      <c r="E152" s="3">
        <v>6.75</v>
      </c>
      <c r="F152" s="3">
        <v>0.65</v>
      </c>
      <c r="G152" s="84">
        <f t="shared" si="43"/>
        <v>0.06267806267806268</v>
      </c>
      <c r="H152" s="150">
        <v>48522</v>
      </c>
      <c r="I152" s="150">
        <v>45</v>
      </c>
      <c r="J152" s="150">
        <v>45</v>
      </c>
      <c r="K152" s="150">
        <v>8</v>
      </c>
      <c r="L152" s="150">
        <v>150</v>
      </c>
      <c r="M152" s="48">
        <v>0</v>
      </c>
      <c r="N152" s="34">
        <f t="shared" si="31"/>
        <v>1200</v>
      </c>
      <c r="O152" s="28">
        <v>1</v>
      </c>
      <c r="P152" s="41">
        <v>0.27</v>
      </c>
      <c r="Q152" s="41">
        <v>1.4</v>
      </c>
      <c r="R152" s="31">
        <f t="shared" si="32"/>
        <v>920.0898087634522</v>
      </c>
      <c r="S152" s="31">
        <f t="shared" si="33"/>
        <v>6.133932058423015</v>
      </c>
      <c r="T152" s="32">
        <f t="shared" si="34"/>
        <v>2729.3625</v>
      </c>
      <c r="U152" s="32">
        <f t="shared" si="35"/>
        <v>18.19575</v>
      </c>
      <c r="V152" s="2">
        <f t="shared" si="36"/>
        <v>21834.9</v>
      </c>
      <c r="W152" s="2">
        <f t="shared" si="37"/>
        <v>3335.8875</v>
      </c>
      <c r="X152" s="2">
        <f t="shared" si="38"/>
        <v>35178.45</v>
      </c>
      <c r="Y152" s="2">
        <f t="shared" si="39"/>
        <v>3166.0604999999996</v>
      </c>
      <c r="Z152" s="2">
        <f t="shared" si="40"/>
        <v>844.2828</v>
      </c>
      <c r="AA152" s="2">
        <f t="shared" si="41"/>
        <v>7346.230799999999</v>
      </c>
      <c r="AB152" s="2">
        <f t="shared" si="42"/>
        <v>48.974872</v>
      </c>
    </row>
    <row r="153" spans="1:28" ht="15">
      <c r="A153" s="30" t="str">
        <f t="shared" si="30"/>
        <v>NT Plant-Rigid4R-30</v>
      </c>
      <c r="B153" s="47" t="s">
        <v>188</v>
      </c>
      <c r="C153" s="47" t="s">
        <v>112</v>
      </c>
      <c r="D153" s="49">
        <v>10</v>
      </c>
      <c r="E153" s="3">
        <v>6.75</v>
      </c>
      <c r="F153" s="3">
        <v>0.65</v>
      </c>
      <c r="G153" s="84">
        <f t="shared" si="43"/>
        <v>0.18803418803418803</v>
      </c>
      <c r="H153" s="150">
        <v>15824</v>
      </c>
      <c r="I153" s="150">
        <v>45</v>
      </c>
      <c r="J153" s="150">
        <v>45</v>
      </c>
      <c r="K153" s="150">
        <v>8</v>
      </c>
      <c r="L153" s="150">
        <v>150</v>
      </c>
      <c r="M153" s="48">
        <v>0</v>
      </c>
      <c r="N153" s="34">
        <f t="shared" si="31"/>
        <v>1200</v>
      </c>
      <c r="O153" s="28">
        <v>1</v>
      </c>
      <c r="P153" s="41">
        <v>0.27</v>
      </c>
      <c r="Q153" s="41">
        <v>1.4</v>
      </c>
      <c r="R153" s="31">
        <f t="shared" si="32"/>
        <v>300.0597900719853</v>
      </c>
      <c r="S153" s="31">
        <f t="shared" si="33"/>
        <v>2.000398600479902</v>
      </c>
      <c r="T153" s="32">
        <f t="shared" si="34"/>
        <v>890.1</v>
      </c>
      <c r="U153" s="32">
        <f t="shared" si="35"/>
        <v>5.934</v>
      </c>
      <c r="V153" s="2">
        <f t="shared" si="36"/>
        <v>7120.8</v>
      </c>
      <c r="W153" s="2">
        <f t="shared" si="37"/>
        <v>1087.9</v>
      </c>
      <c r="X153" s="2">
        <f t="shared" si="38"/>
        <v>11472.4</v>
      </c>
      <c r="Y153" s="2">
        <f t="shared" si="39"/>
        <v>1032.5159999999998</v>
      </c>
      <c r="Z153" s="2">
        <f t="shared" si="40"/>
        <v>275.3376</v>
      </c>
      <c r="AA153" s="2">
        <f t="shared" si="41"/>
        <v>2395.7536</v>
      </c>
      <c r="AB153" s="2">
        <f t="shared" si="42"/>
        <v>15.971690666666667</v>
      </c>
    </row>
    <row r="154" spans="1:28" ht="15">
      <c r="A154" s="30" t="str">
        <f t="shared" si="30"/>
        <v>NT Plant-Rigid4R-40</v>
      </c>
      <c r="B154" s="47" t="s">
        <v>188</v>
      </c>
      <c r="C154" s="47" t="s">
        <v>98</v>
      </c>
      <c r="D154" s="49">
        <v>13.3</v>
      </c>
      <c r="E154" s="3">
        <v>6.75</v>
      </c>
      <c r="F154" s="3">
        <v>0.65</v>
      </c>
      <c r="G154" s="84">
        <f t="shared" si="43"/>
        <v>0.1413790887475098</v>
      </c>
      <c r="H154" s="150">
        <v>15399</v>
      </c>
      <c r="I154" s="150">
        <v>45</v>
      </c>
      <c r="J154" s="150">
        <v>45</v>
      </c>
      <c r="K154" s="150">
        <v>8</v>
      </c>
      <c r="L154" s="150">
        <v>150</v>
      </c>
      <c r="M154" s="48">
        <v>0</v>
      </c>
      <c r="N154" s="34">
        <f t="shared" si="31"/>
        <v>1200</v>
      </c>
      <c r="O154" s="28">
        <v>1</v>
      </c>
      <c r="P154" s="41">
        <v>0.27</v>
      </c>
      <c r="Q154" s="41">
        <v>1.4</v>
      </c>
      <c r="R154" s="31">
        <f t="shared" si="32"/>
        <v>292.0008030408557</v>
      </c>
      <c r="S154" s="31">
        <f t="shared" si="33"/>
        <v>1.9466720202723715</v>
      </c>
      <c r="T154" s="32">
        <f t="shared" si="34"/>
        <v>866.19375</v>
      </c>
      <c r="U154" s="32">
        <f t="shared" si="35"/>
        <v>5.774625</v>
      </c>
      <c r="V154" s="2">
        <f t="shared" si="36"/>
        <v>6929.55</v>
      </c>
      <c r="W154" s="2">
        <f t="shared" si="37"/>
        <v>1058.68125</v>
      </c>
      <c r="X154" s="2">
        <f t="shared" si="38"/>
        <v>11164.275</v>
      </c>
      <c r="Y154" s="2">
        <f t="shared" si="39"/>
        <v>1004.7847499999999</v>
      </c>
      <c r="Z154" s="2">
        <f t="shared" si="40"/>
        <v>267.94259999999997</v>
      </c>
      <c r="AA154" s="2">
        <f t="shared" si="41"/>
        <v>2331.4085999999998</v>
      </c>
      <c r="AB154" s="2">
        <f t="shared" si="42"/>
        <v>15.542723999999998</v>
      </c>
    </row>
    <row r="155" spans="1:28" ht="15">
      <c r="A155" s="30" t="str">
        <f t="shared" si="30"/>
        <v>NT Plant-Rigid6R-30</v>
      </c>
      <c r="B155" s="47" t="s">
        <v>188</v>
      </c>
      <c r="C155" s="47" t="s">
        <v>99</v>
      </c>
      <c r="D155" s="49">
        <v>15</v>
      </c>
      <c r="E155" s="3">
        <v>6.75</v>
      </c>
      <c r="F155" s="3">
        <v>0.65</v>
      </c>
      <c r="G155" s="84">
        <f t="shared" si="43"/>
        <v>0.12535612535612536</v>
      </c>
      <c r="H155" s="150">
        <v>20831</v>
      </c>
      <c r="I155" s="150">
        <v>45</v>
      </c>
      <c r="J155" s="150">
        <v>45</v>
      </c>
      <c r="K155" s="150">
        <v>8</v>
      </c>
      <c r="L155" s="150">
        <v>150</v>
      </c>
      <c r="M155" s="48">
        <v>0</v>
      </c>
      <c r="N155" s="34">
        <f t="shared" si="31"/>
        <v>1200</v>
      </c>
      <c r="O155" s="28">
        <v>1</v>
      </c>
      <c r="P155" s="41">
        <v>0.27</v>
      </c>
      <c r="Q155" s="41">
        <v>1.4</v>
      </c>
      <c r="R155" s="31">
        <f t="shared" si="32"/>
        <v>395.00413845990425</v>
      </c>
      <c r="S155" s="31">
        <f t="shared" si="33"/>
        <v>2.633360923066028</v>
      </c>
      <c r="T155" s="32">
        <f t="shared" si="34"/>
        <v>1171.74375</v>
      </c>
      <c r="U155" s="32">
        <f t="shared" si="35"/>
        <v>7.811625</v>
      </c>
      <c r="V155" s="2">
        <f t="shared" si="36"/>
        <v>9373.95</v>
      </c>
      <c r="W155" s="2">
        <f t="shared" si="37"/>
        <v>1432.13125</v>
      </c>
      <c r="X155" s="2">
        <f t="shared" si="38"/>
        <v>15102.475</v>
      </c>
      <c r="Y155" s="2">
        <f t="shared" si="39"/>
        <v>1359.22275</v>
      </c>
      <c r="Z155" s="2">
        <f t="shared" si="40"/>
        <v>362.4594</v>
      </c>
      <c r="AA155" s="2">
        <f t="shared" si="41"/>
        <v>3153.8134</v>
      </c>
      <c r="AB155" s="2">
        <f t="shared" si="42"/>
        <v>21.025422666666667</v>
      </c>
    </row>
    <row r="156" spans="1:28" ht="15">
      <c r="A156" s="30" t="str">
        <f t="shared" si="30"/>
        <v>NT Plant-Rigid6R-40</v>
      </c>
      <c r="B156" s="47" t="s">
        <v>188</v>
      </c>
      <c r="C156" s="47" t="s">
        <v>100</v>
      </c>
      <c r="D156" s="49">
        <v>20</v>
      </c>
      <c r="E156" s="3">
        <v>6.75</v>
      </c>
      <c r="F156" s="3">
        <v>0.65</v>
      </c>
      <c r="G156" s="84">
        <f t="shared" si="43"/>
        <v>0.09401709401709402</v>
      </c>
      <c r="H156" s="150">
        <v>20915</v>
      </c>
      <c r="I156" s="150">
        <v>45</v>
      </c>
      <c r="J156" s="150">
        <v>45</v>
      </c>
      <c r="K156" s="150">
        <v>8</v>
      </c>
      <c r="L156" s="150">
        <v>150</v>
      </c>
      <c r="M156" s="48">
        <v>0</v>
      </c>
      <c r="N156" s="34">
        <f t="shared" si="31"/>
        <v>1200</v>
      </c>
      <c r="O156" s="28">
        <v>1</v>
      </c>
      <c r="P156" s="41">
        <v>0.27</v>
      </c>
      <c r="Q156" s="41">
        <v>1.4</v>
      </c>
      <c r="R156" s="31">
        <f t="shared" si="32"/>
        <v>396.59697354370394</v>
      </c>
      <c r="S156" s="31">
        <f t="shared" si="33"/>
        <v>2.6439798236246927</v>
      </c>
      <c r="T156" s="32">
        <f t="shared" si="34"/>
        <v>1176.46875</v>
      </c>
      <c r="U156" s="32">
        <f t="shared" si="35"/>
        <v>7.843125</v>
      </c>
      <c r="V156" s="2">
        <f t="shared" si="36"/>
        <v>9411.75</v>
      </c>
      <c r="W156" s="2">
        <f t="shared" si="37"/>
        <v>1437.90625</v>
      </c>
      <c r="X156" s="2">
        <f t="shared" si="38"/>
        <v>15163.375</v>
      </c>
      <c r="Y156" s="2">
        <f t="shared" si="39"/>
        <v>1364.70375</v>
      </c>
      <c r="Z156" s="2">
        <f t="shared" si="40"/>
        <v>363.921</v>
      </c>
      <c r="AA156" s="2">
        <f t="shared" si="41"/>
        <v>3166.531</v>
      </c>
      <c r="AB156" s="2">
        <f t="shared" si="42"/>
        <v>21.110206666666667</v>
      </c>
    </row>
    <row r="157" spans="1:28" ht="15">
      <c r="A157" s="30" t="str">
        <f t="shared" si="30"/>
        <v>NT Plant-Rigid8R-22</v>
      </c>
      <c r="B157" s="47" t="s">
        <v>188</v>
      </c>
      <c r="C157" s="47" t="s">
        <v>192</v>
      </c>
      <c r="D157" s="49">
        <v>14.7</v>
      </c>
      <c r="E157" s="3">
        <v>6.75</v>
      </c>
      <c r="F157" s="3">
        <v>0.65</v>
      </c>
      <c r="G157" s="84">
        <f t="shared" si="43"/>
        <v>0.12791441362869937</v>
      </c>
      <c r="H157" s="150">
        <v>21142</v>
      </c>
      <c r="I157" s="150">
        <v>45</v>
      </c>
      <c r="J157" s="150">
        <v>45</v>
      </c>
      <c r="K157" s="150">
        <v>8</v>
      </c>
      <c r="L157" s="150">
        <v>150</v>
      </c>
      <c r="M157" s="48">
        <v>0</v>
      </c>
      <c r="N157" s="34">
        <f t="shared" si="31"/>
        <v>1200</v>
      </c>
      <c r="O157" s="28">
        <v>1</v>
      </c>
      <c r="P157" s="41">
        <v>0.27</v>
      </c>
      <c r="Q157" s="41">
        <v>1.4</v>
      </c>
      <c r="R157" s="31">
        <f t="shared" si="32"/>
        <v>400.90142073444844</v>
      </c>
      <c r="S157" s="31">
        <f t="shared" si="33"/>
        <v>2.672676138229656</v>
      </c>
      <c r="T157" s="32">
        <f t="shared" si="34"/>
        <v>1189.2375</v>
      </c>
      <c r="U157" s="32">
        <f t="shared" si="35"/>
        <v>7.928249999999999</v>
      </c>
      <c r="V157" s="2">
        <f t="shared" si="36"/>
        <v>9513.9</v>
      </c>
      <c r="W157" s="2">
        <f t="shared" si="37"/>
        <v>1453.5125</v>
      </c>
      <c r="X157" s="2">
        <f t="shared" si="38"/>
        <v>15327.95</v>
      </c>
      <c r="Y157" s="2">
        <f t="shared" si="39"/>
        <v>1379.5155</v>
      </c>
      <c r="Z157" s="2">
        <f t="shared" si="40"/>
        <v>367.87080000000003</v>
      </c>
      <c r="AA157" s="2">
        <f t="shared" si="41"/>
        <v>3200.8988</v>
      </c>
      <c r="AB157" s="2">
        <f t="shared" si="42"/>
        <v>21.33932533333333</v>
      </c>
    </row>
    <row r="158" spans="1:28" ht="15">
      <c r="A158" s="30" t="str">
        <f t="shared" si="30"/>
        <v>NT Plant-Rigid8R-30</v>
      </c>
      <c r="B158" s="47" t="s">
        <v>188</v>
      </c>
      <c r="C158" s="47" t="s">
        <v>101</v>
      </c>
      <c r="D158" s="49">
        <v>20</v>
      </c>
      <c r="E158" s="3">
        <v>6.75</v>
      </c>
      <c r="F158" s="3">
        <v>0.65</v>
      </c>
      <c r="G158" s="84">
        <f t="shared" si="43"/>
        <v>0.09401709401709402</v>
      </c>
      <c r="H158" s="150">
        <v>25935</v>
      </c>
      <c r="I158" s="150">
        <v>45</v>
      </c>
      <c r="J158" s="150">
        <v>45</v>
      </c>
      <c r="K158" s="150">
        <v>8</v>
      </c>
      <c r="L158" s="150">
        <v>150</v>
      </c>
      <c r="M158" s="48">
        <v>0</v>
      </c>
      <c r="N158" s="34">
        <f t="shared" si="31"/>
        <v>1200</v>
      </c>
      <c r="O158" s="28">
        <v>1</v>
      </c>
      <c r="P158" s="41">
        <v>0.27</v>
      </c>
      <c r="Q158" s="41">
        <v>1.4</v>
      </c>
      <c r="R158" s="31">
        <f t="shared" si="32"/>
        <v>491.7878321231634</v>
      </c>
      <c r="S158" s="31">
        <f t="shared" si="33"/>
        <v>3.278585547487756</v>
      </c>
      <c r="T158" s="32">
        <f t="shared" si="34"/>
        <v>1458.84375</v>
      </c>
      <c r="U158" s="32">
        <f t="shared" si="35"/>
        <v>9.725625</v>
      </c>
      <c r="V158" s="2">
        <f t="shared" si="36"/>
        <v>11670.75</v>
      </c>
      <c r="W158" s="2">
        <f t="shared" si="37"/>
        <v>1783.03125</v>
      </c>
      <c r="X158" s="2">
        <f t="shared" si="38"/>
        <v>18802.875</v>
      </c>
      <c r="Y158" s="2">
        <f t="shared" si="39"/>
        <v>1692.25875</v>
      </c>
      <c r="Z158" s="2">
        <f t="shared" si="40"/>
        <v>451.269</v>
      </c>
      <c r="AA158" s="2">
        <f t="shared" si="41"/>
        <v>3926.559</v>
      </c>
      <c r="AB158" s="2">
        <f t="shared" si="42"/>
        <v>26.17706</v>
      </c>
    </row>
    <row r="159" spans="1:28" ht="15">
      <c r="A159" s="30" t="str">
        <f t="shared" si="30"/>
        <v>NT Plant-Rigid8R-40</v>
      </c>
      <c r="B159" s="47" t="s">
        <v>188</v>
      </c>
      <c r="C159" s="47" t="s">
        <v>102</v>
      </c>
      <c r="D159" s="49">
        <v>26.7</v>
      </c>
      <c r="E159" s="3">
        <v>6.75</v>
      </c>
      <c r="F159" s="3">
        <v>0.65</v>
      </c>
      <c r="G159" s="84">
        <f t="shared" si="43"/>
        <v>0.07042478952591312</v>
      </c>
      <c r="H159" s="150">
        <v>25517</v>
      </c>
      <c r="I159" s="150">
        <v>45</v>
      </c>
      <c r="J159" s="150">
        <v>45</v>
      </c>
      <c r="K159" s="150">
        <v>8</v>
      </c>
      <c r="L159" s="150">
        <v>150</v>
      </c>
      <c r="M159" s="48">
        <v>0</v>
      </c>
      <c r="N159" s="34">
        <f t="shared" si="31"/>
        <v>1200</v>
      </c>
      <c r="O159" s="28">
        <v>1</v>
      </c>
      <c r="P159" s="41">
        <v>0.27</v>
      </c>
      <c r="Q159" s="41">
        <v>1.4</v>
      </c>
      <c r="R159" s="31">
        <f t="shared" si="32"/>
        <v>483.8615813490171</v>
      </c>
      <c r="S159" s="31">
        <f t="shared" si="33"/>
        <v>3.2257438756601142</v>
      </c>
      <c r="T159" s="32">
        <f t="shared" si="34"/>
        <v>1435.33125</v>
      </c>
      <c r="U159" s="32">
        <f t="shared" si="35"/>
        <v>9.568875</v>
      </c>
      <c r="V159" s="2">
        <f t="shared" si="36"/>
        <v>11482.65</v>
      </c>
      <c r="W159" s="2">
        <f t="shared" si="37"/>
        <v>1754.29375</v>
      </c>
      <c r="X159" s="2">
        <f t="shared" si="38"/>
        <v>18499.825</v>
      </c>
      <c r="Y159" s="2">
        <f t="shared" si="39"/>
        <v>1664.98425</v>
      </c>
      <c r="Z159" s="2">
        <f t="shared" si="40"/>
        <v>443.99580000000003</v>
      </c>
      <c r="AA159" s="2">
        <f t="shared" si="41"/>
        <v>3863.2738</v>
      </c>
      <c r="AB159" s="2">
        <f t="shared" si="42"/>
        <v>25.755158666666667</v>
      </c>
    </row>
    <row r="160" spans="1:28" ht="15">
      <c r="A160" s="30" t="str">
        <f t="shared" si="30"/>
        <v>Paratill &amp; Bed Fold.12R-36</v>
      </c>
      <c r="B160" s="47" t="s">
        <v>233</v>
      </c>
      <c r="C160" s="47" t="s">
        <v>376</v>
      </c>
      <c r="D160" s="49">
        <v>36</v>
      </c>
      <c r="E160" s="3">
        <v>4.75</v>
      </c>
      <c r="F160" s="3">
        <v>0.85</v>
      </c>
      <c r="G160" s="84">
        <f t="shared" si="43"/>
        <v>0.056759545923632616</v>
      </c>
      <c r="H160" s="150">
        <v>47439</v>
      </c>
      <c r="I160" s="150">
        <v>30</v>
      </c>
      <c r="J160" s="150">
        <v>65</v>
      </c>
      <c r="K160" s="150">
        <v>12</v>
      </c>
      <c r="L160" s="150">
        <v>150</v>
      </c>
      <c r="M160" s="48">
        <v>0</v>
      </c>
      <c r="N160" s="34">
        <f t="shared" si="31"/>
        <v>1800</v>
      </c>
      <c r="O160" s="28">
        <v>1</v>
      </c>
      <c r="P160" s="41">
        <v>0.27</v>
      </c>
      <c r="Q160" s="41">
        <v>1.4</v>
      </c>
      <c r="R160" s="31">
        <f t="shared" si="32"/>
        <v>899.5536135758915</v>
      </c>
      <c r="S160" s="31">
        <f t="shared" si="33"/>
        <v>5.997024090505944</v>
      </c>
      <c r="T160" s="32">
        <f t="shared" si="34"/>
        <v>2569.6124999999997</v>
      </c>
      <c r="U160" s="32">
        <f t="shared" si="35"/>
        <v>17.13075</v>
      </c>
      <c r="V160" s="2">
        <f t="shared" si="36"/>
        <v>14231.7</v>
      </c>
      <c r="W160" s="2">
        <f t="shared" si="37"/>
        <v>2767.275</v>
      </c>
      <c r="X160" s="2">
        <f t="shared" si="38"/>
        <v>30835.35</v>
      </c>
      <c r="Y160" s="2">
        <f t="shared" si="39"/>
        <v>2775.1814999999997</v>
      </c>
      <c r="Z160" s="2">
        <f t="shared" si="40"/>
        <v>740.0484</v>
      </c>
      <c r="AA160" s="2">
        <f t="shared" si="41"/>
        <v>6282.5049</v>
      </c>
      <c r="AB160" s="2">
        <f t="shared" si="42"/>
        <v>41.883366</v>
      </c>
    </row>
    <row r="161" spans="1:28" ht="15">
      <c r="A161" s="30" t="str">
        <f t="shared" si="30"/>
        <v>Paratill &amp; Bed Fold.8R-36</v>
      </c>
      <c r="B161" s="47" t="s">
        <v>233</v>
      </c>
      <c r="C161" s="47" t="s">
        <v>377</v>
      </c>
      <c r="D161" s="49">
        <v>24</v>
      </c>
      <c r="E161" s="3">
        <v>4.75</v>
      </c>
      <c r="F161" s="3">
        <v>0.85</v>
      </c>
      <c r="G161" s="84">
        <f t="shared" si="43"/>
        <v>0.08513931888544891</v>
      </c>
      <c r="H161" s="150">
        <v>29672</v>
      </c>
      <c r="I161" s="150">
        <v>30</v>
      </c>
      <c r="J161" s="150">
        <v>65</v>
      </c>
      <c r="K161" s="150">
        <v>12</v>
      </c>
      <c r="L161" s="150">
        <v>150</v>
      </c>
      <c r="M161" s="48">
        <v>0</v>
      </c>
      <c r="N161" s="34">
        <f t="shared" si="31"/>
        <v>1800</v>
      </c>
      <c r="O161" s="28">
        <v>1</v>
      </c>
      <c r="P161" s="41">
        <v>0.27</v>
      </c>
      <c r="Q161" s="41">
        <v>1.4</v>
      </c>
      <c r="R161" s="31">
        <f t="shared" si="32"/>
        <v>562.6500310298247</v>
      </c>
      <c r="S161" s="31">
        <f t="shared" si="33"/>
        <v>3.7510002068654984</v>
      </c>
      <c r="T161" s="32">
        <f t="shared" si="34"/>
        <v>1607.2333333333333</v>
      </c>
      <c r="U161" s="32">
        <f t="shared" si="35"/>
        <v>10.71488888888889</v>
      </c>
      <c r="V161" s="2">
        <f t="shared" si="36"/>
        <v>8901.6</v>
      </c>
      <c r="W161" s="2">
        <f t="shared" si="37"/>
        <v>1730.8666666666668</v>
      </c>
      <c r="X161" s="2">
        <f t="shared" si="38"/>
        <v>19286.8</v>
      </c>
      <c r="Y161" s="2">
        <f t="shared" si="39"/>
        <v>1735.812</v>
      </c>
      <c r="Z161" s="2">
        <f t="shared" si="40"/>
        <v>462.8832</v>
      </c>
      <c r="AA161" s="2">
        <f t="shared" si="41"/>
        <v>3929.561866666667</v>
      </c>
      <c r="AB161" s="2">
        <f t="shared" si="42"/>
        <v>26.197079111111112</v>
      </c>
    </row>
    <row r="162" spans="1:28" ht="15">
      <c r="A162" s="30" t="str">
        <f t="shared" si="30"/>
        <v>Paratill &amp; Bed Rigid8R-36</v>
      </c>
      <c r="B162" s="47" t="s">
        <v>232</v>
      </c>
      <c r="C162" s="47" t="s">
        <v>377</v>
      </c>
      <c r="D162" s="49">
        <v>24</v>
      </c>
      <c r="E162" s="3">
        <v>4.75</v>
      </c>
      <c r="F162" s="3">
        <v>0.85</v>
      </c>
      <c r="G162" s="84">
        <f t="shared" si="43"/>
        <v>0.08513931888544891</v>
      </c>
      <c r="H162" s="150">
        <v>18879</v>
      </c>
      <c r="I162" s="150">
        <v>30</v>
      </c>
      <c r="J162" s="150">
        <v>65</v>
      </c>
      <c r="K162" s="150">
        <v>12</v>
      </c>
      <c r="L162" s="150">
        <v>150</v>
      </c>
      <c r="M162" s="48">
        <v>0</v>
      </c>
      <c r="N162" s="34">
        <f t="shared" si="31"/>
        <v>1800</v>
      </c>
      <c r="O162" s="28">
        <v>1</v>
      </c>
      <c r="P162" s="41">
        <v>0.27</v>
      </c>
      <c r="Q162" s="41">
        <v>1.4</v>
      </c>
      <c r="R162" s="31">
        <f t="shared" si="32"/>
        <v>357.9896850839869</v>
      </c>
      <c r="S162" s="31">
        <f t="shared" si="33"/>
        <v>2.3865979005599125</v>
      </c>
      <c r="T162" s="32">
        <f t="shared" si="34"/>
        <v>1022.6125000000001</v>
      </c>
      <c r="U162" s="32">
        <f t="shared" si="35"/>
        <v>6.817416666666667</v>
      </c>
      <c r="V162" s="2">
        <f t="shared" si="36"/>
        <v>5663.7</v>
      </c>
      <c r="W162" s="2">
        <f t="shared" si="37"/>
        <v>1101.2749999999999</v>
      </c>
      <c r="X162" s="2">
        <f t="shared" si="38"/>
        <v>12271.35</v>
      </c>
      <c r="Y162" s="2">
        <f t="shared" si="39"/>
        <v>1104.4215</v>
      </c>
      <c r="Z162" s="2">
        <f t="shared" si="40"/>
        <v>294.5124</v>
      </c>
      <c r="AA162" s="2">
        <f t="shared" si="41"/>
        <v>2500.2088999999996</v>
      </c>
      <c r="AB162" s="2">
        <f t="shared" si="42"/>
        <v>16.668059333333332</v>
      </c>
    </row>
    <row r="163" spans="1:28" ht="15">
      <c r="A163" s="30" t="str">
        <f t="shared" si="30"/>
        <v>Paratill &amp; Bed4R-30</v>
      </c>
      <c r="B163" s="47" t="s">
        <v>129</v>
      </c>
      <c r="C163" s="47" t="s">
        <v>112</v>
      </c>
      <c r="D163" s="49">
        <v>10</v>
      </c>
      <c r="E163" s="3">
        <v>4.75</v>
      </c>
      <c r="F163" s="3">
        <v>0.85</v>
      </c>
      <c r="G163" s="84">
        <f t="shared" si="43"/>
        <v>0.20433436532507743</v>
      </c>
      <c r="H163" s="150">
        <v>9794</v>
      </c>
      <c r="I163" s="150">
        <v>30</v>
      </c>
      <c r="J163" s="150">
        <v>65</v>
      </c>
      <c r="K163" s="150">
        <v>12</v>
      </c>
      <c r="L163" s="150">
        <v>150</v>
      </c>
      <c r="M163" s="48">
        <v>0</v>
      </c>
      <c r="N163" s="34">
        <f t="shared" si="31"/>
        <v>1800</v>
      </c>
      <c r="O163" s="28">
        <v>1</v>
      </c>
      <c r="P163" s="41">
        <v>0.27</v>
      </c>
      <c r="Q163" s="41">
        <v>1.4</v>
      </c>
      <c r="R163" s="31">
        <f t="shared" si="32"/>
        <v>185.7169858420768</v>
      </c>
      <c r="S163" s="31">
        <f t="shared" si="33"/>
        <v>1.2381132389471787</v>
      </c>
      <c r="T163" s="32">
        <f t="shared" si="34"/>
        <v>530.5083333333333</v>
      </c>
      <c r="U163" s="32">
        <f t="shared" si="35"/>
        <v>3.536722222222222</v>
      </c>
      <c r="V163" s="2">
        <f t="shared" si="36"/>
        <v>2938.2</v>
      </c>
      <c r="W163" s="2">
        <f t="shared" si="37"/>
        <v>571.3166666666667</v>
      </c>
      <c r="X163" s="2">
        <f t="shared" si="38"/>
        <v>6366.1</v>
      </c>
      <c r="Y163" s="2">
        <f t="shared" si="39"/>
        <v>572.949</v>
      </c>
      <c r="Z163" s="2">
        <f t="shared" si="40"/>
        <v>152.78640000000001</v>
      </c>
      <c r="AA163" s="2">
        <f t="shared" si="41"/>
        <v>1297.0520666666666</v>
      </c>
      <c r="AB163" s="2">
        <f t="shared" si="42"/>
        <v>8.647013777777778</v>
      </c>
    </row>
    <row r="164" spans="1:28" ht="15">
      <c r="A164" s="30" t="str">
        <f t="shared" si="30"/>
        <v>Paratill &amp; Bed4R-36</v>
      </c>
      <c r="B164" s="47" t="s">
        <v>129</v>
      </c>
      <c r="C164" s="47" t="s">
        <v>373</v>
      </c>
      <c r="D164" s="49">
        <v>12</v>
      </c>
      <c r="E164" s="3">
        <v>4.75</v>
      </c>
      <c r="F164" s="3">
        <v>0.85</v>
      </c>
      <c r="G164" s="84">
        <f t="shared" si="43"/>
        <v>0.17027863777089783</v>
      </c>
      <c r="H164" s="150">
        <v>9838</v>
      </c>
      <c r="I164" s="150">
        <v>30</v>
      </c>
      <c r="J164" s="150">
        <v>65</v>
      </c>
      <c r="K164" s="150">
        <v>12</v>
      </c>
      <c r="L164" s="150">
        <v>150</v>
      </c>
      <c r="M164" s="48">
        <v>0</v>
      </c>
      <c r="N164" s="34">
        <f t="shared" si="31"/>
        <v>1800</v>
      </c>
      <c r="O164" s="28">
        <v>1</v>
      </c>
      <c r="P164" s="41">
        <v>0.27</v>
      </c>
      <c r="Q164" s="41">
        <v>1.4</v>
      </c>
      <c r="R164" s="31">
        <f t="shared" si="32"/>
        <v>186.55132802882906</v>
      </c>
      <c r="S164" s="31">
        <f t="shared" si="33"/>
        <v>1.2436755201921939</v>
      </c>
      <c r="T164" s="32">
        <f t="shared" si="34"/>
        <v>532.8916666666667</v>
      </c>
      <c r="U164" s="32">
        <f t="shared" si="35"/>
        <v>3.552611111111111</v>
      </c>
      <c r="V164" s="2">
        <f t="shared" si="36"/>
        <v>2951.4</v>
      </c>
      <c r="W164" s="2">
        <f t="shared" si="37"/>
        <v>573.8833333333333</v>
      </c>
      <c r="X164" s="2">
        <f t="shared" si="38"/>
        <v>6394.7</v>
      </c>
      <c r="Y164" s="2">
        <f t="shared" si="39"/>
        <v>575.5229999999999</v>
      </c>
      <c r="Z164" s="2">
        <f t="shared" si="40"/>
        <v>153.4728</v>
      </c>
      <c r="AA164" s="2">
        <f t="shared" si="41"/>
        <v>1302.8791333333334</v>
      </c>
      <c r="AB164" s="2">
        <f t="shared" si="42"/>
        <v>8.68586088888889</v>
      </c>
    </row>
    <row r="165" spans="1:28" ht="15">
      <c r="A165" s="30" t="str">
        <f t="shared" si="30"/>
        <v>Paratill &amp; Bed6R-30</v>
      </c>
      <c r="B165" s="47" t="s">
        <v>129</v>
      </c>
      <c r="C165" s="47" t="s">
        <v>99</v>
      </c>
      <c r="D165" s="49">
        <v>15</v>
      </c>
      <c r="E165" s="3">
        <v>4.75</v>
      </c>
      <c r="F165" s="3">
        <v>0.85</v>
      </c>
      <c r="G165" s="84">
        <f t="shared" si="43"/>
        <v>0.13622291021671826</v>
      </c>
      <c r="H165" s="150">
        <v>13527</v>
      </c>
      <c r="I165" s="150">
        <v>30</v>
      </c>
      <c r="J165" s="150">
        <v>65</v>
      </c>
      <c r="K165" s="150">
        <v>12</v>
      </c>
      <c r="L165" s="150">
        <v>150</v>
      </c>
      <c r="M165" s="48">
        <v>0</v>
      </c>
      <c r="N165" s="34">
        <f t="shared" si="31"/>
        <v>1800</v>
      </c>
      <c r="O165" s="28">
        <v>1</v>
      </c>
      <c r="P165" s="41">
        <v>0.27</v>
      </c>
      <c r="Q165" s="41">
        <v>1.4</v>
      </c>
      <c r="R165" s="31">
        <f t="shared" si="32"/>
        <v>256.5033354590334</v>
      </c>
      <c r="S165" s="31">
        <f t="shared" si="33"/>
        <v>1.710022236393556</v>
      </c>
      <c r="T165" s="32">
        <f t="shared" si="34"/>
        <v>732.7125</v>
      </c>
      <c r="U165" s="32">
        <f t="shared" si="35"/>
        <v>4.8847499999999995</v>
      </c>
      <c r="V165" s="2">
        <f t="shared" si="36"/>
        <v>4058.1</v>
      </c>
      <c r="W165" s="2">
        <f t="shared" si="37"/>
        <v>789.0749999999999</v>
      </c>
      <c r="X165" s="2">
        <f t="shared" si="38"/>
        <v>8792.55</v>
      </c>
      <c r="Y165" s="2">
        <f t="shared" si="39"/>
        <v>791.3294999999999</v>
      </c>
      <c r="Z165" s="2">
        <f t="shared" si="40"/>
        <v>211.0212</v>
      </c>
      <c r="AA165" s="2">
        <f t="shared" si="41"/>
        <v>1791.4256999999998</v>
      </c>
      <c r="AB165" s="2">
        <f t="shared" si="42"/>
        <v>11.942837999999998</v>
      </c>
    </row>
    <row r="166" spans="1:28" ht="15">
      <c r="A166" s="30" t="str">
        <f t="shared" si="30"/>
        <v>Paratill &amp; Bed6R-36</v>
      </c>
      <c r="B166" s="47" t="s">
        <v>129</v>
      </c>
      <c r="C166" s="47" t="s">
        <v>374</v>
      </c>
      <c r="D166" s="49">
        <v>18</v>
      </c>
      <c r="E166" s="3">
        <v>4.75</v>
      </c>
      <c r="F166" s="3">
        <v>0.85</v>
      </c>
      <c r="G166" s="84">
        <f t="shared" si="43"/>
        <v>0.11351909184726523</v>
      </c>
      <c r="H166" s="150">
        <v>15103</v>
      </c>
      <c r="I166" s="150">
        <v>30</v>
      </c>
      <c r="J166" s="150">
        <v>65</v>
      </c>
      <c r="K166" s="150">
        <v>12</v>
      </c>
      <c r="L166" s="150">
        <v>150</v>
      </c>
      <c r="M166" s="48">
        <v>0</v>
      </c>
      <c r="N166" s="34">
        <f t="shared" si="31"/>
        <v>1800</v>
      </c>
      <c r="O166" s="28">
        <v>1</v>
      </c>
      <c r="P166" s="41">
        <v>0.27</v>
      </c>
      <c r="Q166" s="41">
        <v>1.4</v>
      </c>
      <c r="R166" s="31">
        <f t="shared" si="32"/>
        <v>286.3879556027043</v>
      </c>
      <c r="S166" s="31">
        <f t="shared" si="33"/>
        <v>1.909253037351362</v>
      </c>
      <c r="T166" s="32">
        <f t="shared" si="34"/>
        <v>818.0791666666668</v>
      </c>
      <c r="U166" s="32">
        <f t="shared" si="35"/>
        <v>5.453861111111112</v>
      </c>
      <c r="V166" s="2">
        <f t="shared" si="36"/>
        <v>4530.9</v>
      </c>
      <c r="W166" s="2">
        <f t="shared" si="37"/>
        <v>881.0083333333333</v>
      </c>
      <c r="X166" s="2">
        <f t="shared" si="38"/>
        <v>9816.95</v>
      </c>
      <c r="Y166" s="2">
        <f t="shared" si="39"/>
        <v>883.5255000000001</v>
      </c>
      <c r="Z166" s="2">
        <f t="shared" si="40"/>
        <v>235.60680000000002</v>
      </c>
      <c r="AA166" s="2">
        <f t="shared" si="41"/>
        <v>2000.1406333333334</v>
      </c>
      <c r="AB166" s="2">
        <f t="shared" si="42"/>
        <v>13.33427088888889</v>
      </c>
    </row>
    <row r="167" spans="1:28" ht="15">
      <c r="A167" s="30" t="str">
        <f t="shared" si="30"/>
        <v>Paratill &amp; Bed8R-30</v>
      </c>
      <c r="B167" s="47" t="s">
        <v>129</v>
      </c>
      <c r="C167" s="47" t="s">
        <v>101</v>
      </c>
      <c r="D167" s="49">
        <v>20</v>
      </c>
      <c r="E167" s="3">
        <v>4.75</v>
      </c>
      <c r="F167" s="3">
        <v>0.85</v>
      </c>
      <c r="G167" s="84">
        <f t="shared" si="43"/>
        <v>0.10216718266253871</v>
      </c>
      <c r="H167" s="150">
        <v>17858</v>
      </c>
      <c r="I167" s="150">
        <v>30</v>
      </c>
      <c r="J167" s="150">
        <v>65</v>
      </c>
      <c r="K167" s="150">
        <v>12</v>
      </c>
      <c r="L167" s="150">
        <v>150</v>
      </c>
      <c r="M167" s="48">
        <v>0</v>
      </c>
      <c r="N167" s="34">
        <f t="shared" si="31"/>
        <v>1800</v>
      </c>
      <c r="O167" s="28">
        <v>1</v>
      </c>
      <c r="P167" s="41">
        <v>0.27</v>
      </c>
      <c r="Q167" s="41">
        <v>1.4</v>
      </c>
      <c r="R167" s="31">
        <f t="shared" si="32"/>
        <v>338.6291538868499</v>
      </c>
      <c r="S167" s="31">
        <f t="shared" si="33"/>
        <v>2.2575276925789995</v>
      </c>
      <c r="T167" s="32">
        <f t="shared" si="34"/>
        <v>967.3083333333334</v>
      </c>
      <c r="U167" s="32">
        <f t="shared" si="35"/>
        <v>6.448722222222223</v>
      </c>
      <c r="V167" s="2">
        <f t="shared" si="36"/>
        <v>5357.4</v>
      </c>
      <c r="W167" s="2">
        <f t="shared" si="37"/>
        <v>1041.7166666666667</v>
      </c>
      <c r="X167" s="2">
        <f t="shared" si="38"/>
        <v>11607.7</v>
      </c>
      <c r="Y167" s="2">
        <f t="shared" si="39"/>
        <v>1044.693</v>
      </c>
      <c r="Z167" s="2">
        <f t="shared" si="40"/>
        <v>278.58480000000003</v>
      </c>
      <c r="AA167" s="2">
        <f t="shared" si="41"/>
        <v>2364.994466666667</v>
      </c>
      <c r="AB167" s="2">
        <f t="shared" si="42"/>
        <v>15.76662977777778</v>
      </c>
    </row>
    <row r="168" spans="1:28" ht="15">
      <c r="A168" s="30" t="str">
        <f t="shared" si="30"/>
        <v>Paratill &amp; Bed8R402X1</v>
      </c>
      <c r="B168" s="47" t="s">
        <v>129</v>
      </c>
      <c r="C168" s="47" t="s">
        <v>251</v>
      </c>
      <c r="D168" s="49">
        <v>40</v>
      </c>
      <c r="E168" s="3">
        <v>4.75</v>
      </c>
      <c r="F168" s="3">
        <v>0.85</v>
      </c>
      <c r="G168" s="84">
        <f t="shared" si="43"/>
        <v>0.05108359133126936</v>
      </c>
      <c r="H168" s="150">
        <v>47439</v>
      </c>
      <c r="I168" s="150">
        <v>30</v>
      </c>
      <c r="J168" s="150">
        <v>65</v>
      </c>
      <c r="K168" s="150">
        <v>12</v>
      </c>
      <c r="L168" s="150">
        <v>150</v>
      </c>
      <c r="M168" s="48">
        <v>0</v>
      </c>
      <c r="N168" s="34">
        <f t="shared" si="31"/>
        <v>1800</v>
      </c>
      <c r="O168" s="28">
        <v>1</v>
      </c>
      <c r="P168" s="41">
        <v>0.27</v>
      </c>
      <c r="Q168" s="41">
        <v>1.4</v>
      </c>
      <c r="R168" s="31">
        <f t="shared" si="32"/>
        <v>899.5536135758915</v>
      </c>
      <c r="S168" s="31">
        <f t="shared" si="33"/>
        <v>5.997024090505944</v>
      </c>
      <c r="T168" s="32">
        <f t="shared" si="34"/>
        <v>2569.6124999999997</v>
      </c>
      <c r="U168" s="32">
        <f t="shared" si="35"/>
        <v>17.13075</v>
      </c>
      <c r="V168" s="2">
        <f t="shared" si="36"/>
        <v>14231.7</v>
      </c>
      <c r="W168" s="2">
        <f t="shared" si="37"/>
        <v>2767.275</v>
      </c>
      <c r="X168" s="2">
        <f t="shared" si="38"/>
        <v>30835.35</v>
      </c>
      <c r="Y168" s="2">
        <f t="shared" si="39"/>
        <v>2775.1814999999997</v>
      </c>
      <c r="Z168" s="2">
        <f t="shared" si="40"/>
        <v>740.0484</v>
      </c>
      <c r="AA168" s="2">
        <f t="shared" si="41"/>
        <v>6282.5049</v>
      </c>
      <c r="AB168" s="2">
        <f t="shared" si="42"/>
        <v>41.883366</v>
      </c>
    </row>
    <row r="169" spans="1:28" ht="15">
      <c r="A169" s="30" t="str">
        <f t="shared" si="30"/>
        <v>Pipe Drag30'</v>
      </c>
      <c r="B169" s="47" t="s">
        <v>190</v>
      </c>
      <c r="C169" s="47" t="s">
        <v>119</v>
      </c>
      <c r="D169" s="49">
        <v>30</v>
      </c>
      <c r="E169" s="3">
        <v>6.25</v>
      </c>
      <c r="F169" s="3">
        <v>0.85</v>
      </c>
      <c r="G169" s="84">
        <f t="shared" si="43"/>
        <v>0.05176470588235295</v>
      </c>
      <c r="H169" s="150">
        <v>500</v>
      </c>
      <c r="I169" s="150">
        <v>30</v>
      </c>
      <c r="J169" s="150">
        <v>45</v>
      </c>
      <c r="K169" s="150">
        <v>12</v>
      </c>
      <c r="L169" s="150">
        <v>100</v>
      </c>
      <c r="M169" s="48">
        <v>0</v>
      </c>
      <c r="N169" s="34">
        <f t="shared" si="31"/>
        <v>1200</v>
      </c>
      <c r="O169" s="28">
        <v>1</v>
      </c>
      <c r="P169" s="41">
        <v>0.27</v>
      </c>
      <c r="Q169" s="41">
        <v>1.4</v>
      </c>
      <c r="R169" s="31">
        <f t="shared" si="32"/>
        <v>5.374446802472216</v>
      </c>
      <c r="S169" s="31">
        <f t="shared" si="33"/>
        <v>0.05374446802472216</v>
      </c>
      <c r="T169" s="32">
        <f t="shared" si="34"/>
        <v>18.75</v>
      </c>
      <c r="U169" s="32">
        <f t="shared" si="35"/>
        <v>0.1875</v>
      </c>
      <c r="V169" s="2">
        <f t="shared" si="36"/>
        <v>150</v>
      </c>
      <c r="W169" s="2">
        <f t="shared" si="37"/>
        <v>29.166666666666668</v>
      </c>
      <c r="X169" s="2">
        <f t="shared" si="38"/>
        <v>325</v>
      </c>
      <c r="Y169" s="2">
        <f t="shared" si="39"/>
        <v>29.25</v>
      </c>
      <c r="Z169" s="2">
        <f t="shared" si="40"/>
        <v>7.8</v>
      </c>
      <c r="AA169" s="2">
        <f t="shared" si="41"/>
        <v>66.21666666666667</v>
      </c>
      <c r="AB169" s="2">
        <f t="shared" si="42"/>
        <v>0.6621666666666667</v>
      </c>
    </row>
    <row r="170" spans="1:28" ht="15">
      <c r="A170" s="30" t="str">
        <f t="shared" si="30"/>
        <v>Plant - Folding10R-30</v>
      </c>
      <c r="B170" s="47" t="s">
        <v>193</v>
      </c>
      <c r="C170" s="47" t="s">
        <v>103</v>
      </c>
      <c r="D170" s="49">
        <v>25</v>
      </c>
      <c r="E170" s="3">
        <v>6.75</v>
      </c>
      <c r="F170" s="3">
        <v>0.65</v>
      </c>
      <c r="G170" s="84">
        <f t="shared" si="43"/>
        <v>0.07521367521367521</v>
      </c>
      <c r="H170" s="150">
        <v>42453</v>
      </c>
      <c r="I170" s="150">
        <v>45</v>
      </c>
      <c r="J170" s="150">
        <v>45</v>
      </c>
      <c r="K170" s="150">
        <v>8</v>
      </c>
      <c r="L170" s="150">
        <v>150</v>
      </c>
      <c r="M170" s="48">
        <v>0</v>
      </c>
      <c r="N170" s="34">
        <f t="shared" si="31"/>
        <v>1200</v>
      </c>
      <c r="O170" s="28">
        <v>1</v>
      </c>
      <c r="P170" s="41">
        <v>0.27</v>
      </c>
      <c r="Q170" s="41">
        <v>1.4</v>
      </c>
      <c r="R170" s="31">
        <f t="shared" si="32"/>
        <v>805.0074739589226</v>
      </c>
      <c r="S170" s="31">
        <f t="shared" si="33"/>
        <v>5.366716493059484</v>
      </c>
      <c r="T170" s="32">
        <f t="shared" si="34"/>
        <v>2387.98125</v>
      </c>
      <c r="U170" s="32">
        <f t="shared" si="35"/>
        <v>15.919875</v>
      </c>
      <c r="V170" s="2">
        <f t="shared" si="36"/>
        <v>19103.85</v>
      </c>
      <c r="W170" s="2">
        <f t="shared" si="37"/>
        <v>2918.64375</v>
      </c>
      <c r="X170" s="2">
        <f t="shared" si="38"/>
        <v>30778.425</v>
      </c>
      <c r="Y170" s="2">
        <f t="shared" si="39"/>
        <v>2770.05825</v>
      </c>
      <c r="Z170" s="2">
        <f t="shared" si="40"/>
        <v>738.6822</v>
      </c>
      <c r="AA170" s="2">
        <f t="shared" si="41"/>
        <v>6427.3842</v>
      </c>
      <c r="AB170" s="2">
        <f t="shared" si="42"/>
        <v>42.849228000000004</v>
      </c>
    </row>
    <row r="171" spans="1:28" ht="15">
      <c r="A171" s="30" t="str">
        <f t="shared" si="30"/>
        <v>Plant - Folding10R-36</v>
      </c>
      <c r="B171" s="47" t="s">
        <v>193</v>
      </c>
      <c r="C171" s="47" t="s">
        <v>375</v>
      </c>
      <c r="D171" s="49">
        <v>30</v>
      </c>
      <c r="E171" s="3">
        <v>6.75</v>
      </c>
      <c r="F171" s="3">
        <v>0.65</v>
      </c>
      <c r="G171" s="84">
        <f aca="true" t="shared" si="44" ref="G171:G202">1/((D171*E171*5280*F171)/43560)</f>
        <v>0.06267806267806268</v>
      </c>
      <c r="H171" s="150">
        <v>43011</v>
      </c>
      <c r="I171" s="150">
        <v>45</v>
      </c>
      <c r="J171" s="150">
        <v>45</v>
      </c>
      <c r="K171" s="150">
        <v>8</v>
      </c>
      <c r="L171" s="150">
        <v>150</v>
      </c>
      <c r="M171" s="48">
        <v>0</v>
      </c>
      <c r="N171" s="34">
        <f t="shared" si="31"/>
        <v>1200</v>
      </c>
      <c r="O171" s="28">
        <v>1</v>
      </c>
      <c r="P171" s="41">
        <v>0.27</v>
      </c>
      <c r="Q171" s="41">
        <v>1.4</v>
      </c>
      <c r="R171" s="31">
        <f t="shared" si="32"/>
        <v>815.5884498727349</v>
      </c>
      <c r="S171" s="31">
        <f t="shared" si="33"/>
        <v>5.4372563324849</v>
      </c>
      <c r="T171" s="32">
        <f t="shared" si="34"/>
        <v>2419.36875</v>
      </c>
      <c r="U171" s="32">
        <f t="shared" si="35"/>
        <v>16.129125000000002</v>
      </c>
      <c r="V171" s="2">
        <f t="shared" si="36"/>
        <v>19354.95</v>
      </c>
      <c r="W171" s="2">
        <f t="shared" si="37"/>
        <v>2957.00625</v>
      </c>
      <c r="X171" s="2">
        <f t="shared" si="38"/>
        <v>31182.975</v>
      </c>
      <c r="Y171" s="2">
        <f t="shared" si="39"/>
        <v>2806.46775</v>
      </c>
      <c r="Z171" s="2">
        <f t="shared" si="40"/>
        <v>748.3914</v>
      </c>
      <c r="AA171" s="2">
        <f t="shared" si="41"/>
        <v>6511.8654</v>
      </c>
      <c r="AB171" s="2">
        <f t="shared" si="42"/>
        <v>43.412436</v>
      </c>
    </row>
    <row r="172" spans="1:28" ht="15">
      <c r="A172" s="30" t="str">
        <f t="shared" si="30"/>
        <v>Plant - Folding12R-20</v>
      </c>
      <c r="B172" s="47" t="s">
        <v>193</v>
      </c>
      <c r="C172" s="47" t="s">
        <v>130</v>
      </c>
      <c r="D172" s="49">
        <v>20</v>
      </c>
      <c r="E172" s="3">
        <v>6.75</v>
      </c>
      <c r="F172" s="3">
        <v>0.65</v>
      </c>
      <c r="G172" s="84">
        <f t="shared" si="44"/>
        <v>0.09401709401709402</v>
      </c>
      <c r="H172" s="150">
        <v>40465</v>
      </c>
      <c r="I172" s="150">
        <v>45</v>
      </c>
      <c r="J172" s="150">
        <v>45</v>
      </c>
      <c r="K172" s="150">
        <v>8</v>
      </c>
      <c r="L172" s="150">
        <v>150</v>
      </c>
      <c r="M172" s="48">
        <v>0</v>
      </c>
      <c r="N172" s="34">
        <f t="shared" si="31"/>
        <v>1200</v>
      </c>
      <c r="O172" s="28">
        <v>1</v>
      </c>
      <c r="P172" s="41">
        <v>0.27</v>
      </c>
      <c r="Q172" s="41">
        <v>1.4</v>
      </c>
      <c r="R172" s="31">
        <f t="shared" si="32"/>
        <v>767.3103769756625</v>
      </c>
      <c r="S172" s="31">
        <f t="shared" si="33"/>
        <v>5.115402513171083</v>
      </c>
      <c r="T172" s="32">
        <f t="shared" si="34"/>
        <v>2276.15625</v>
      </c>
      <c r="U172" s="32">
        <f t="shared" si="35"/>
        <v>15.174375</v>
      </c>
      <c r="V172" s="2">
        <f t="shared" si="36"/>
        <v>18209.25</v>
      </c>
      <c r="W172" s="2">
        <f t="shared" si="37"/>
        <v>2781.96875</v>
      </c>
      <c r="X172" s="2">
        <f t="shared" si="38"/>
        <v>29337.125</v>
      </c>
      <c r="Y172" s="2">
        <f t="shared" si="39"/>
        <v>2640.34125</v>
      </c>
      <c r="Z172" s="2">
        <f t="shared" si="40"/>
        <v>704.091</v>
      </c>
      <c r="AA172" s="2">
        <f t="shared" si="41"/>
        <v>6126.401</v>
      </c>
      <c r="AB172" s="2">
        <f t="shared" si="42"/>
        <v>40.84267333333333</v>
      </c>
    </row>
    <row r="173" spans="1:28" ht="15">
      <c r="A173" s="30" t="str">
        <f t="shared" si="30"/>
        <v>Plant - Folding12R-30</v>
      </c>
      <c r="B173" s="47" t="s">
        <v>193</v>
      </c>
      <c r="C173" s="47" t="s">
        <v>213</v>
      </c>
      <c r="D173" s="49">
        <v>30</v>
      </c>
      <c r="E173" s="3">
        <v>6.75</v>
      </c>
      <c r="F173" s="3">
        <v>0.65</v>
      </c>
      <c r="G173" s="84">
        <f t="shared" si="44"/>
        <v>0.06267806267806268</v>
      </c>
      <c r="H173" s="150">
        <v>46726</v>
      </c>
      <c r="I173" s="150">
        <v>45</v>
      </c>
      <c r="J173" s="150">
        <v>45</v>
      </c>
      <c r="K173" s="150">
        <v>8</v>
      </c>
      <c r="L173" s="150">
        <v>150</v>
      </c>
      <c r="M173" s="48">
        <v>0</v>
      </c>
      <c r="N173" s="34">
        <f t="shared" si="31"/>
        <v>1200</v>
      </c>
      <c r="O173" s="28">
        <v>1</v>
      </c>
      <c r="P173" s="41">
        <v>0.27</v>
      </c>
      <c r="Q173" s="41">
        <v>1.4</v>
      </c>
      <c r="R173" s="31">
        <f t="shared" si="32"/>
        <v>886.0334776860201</v>
      </c>
      <c r="S173" s="31">
        <f t="shared" si="33"/>
        <v>5.906889851240134</v>
      </c>
      <c r="T173" s="32">
        <f t="shared" si="34"/>
        <v>2628.3375</v>
      </c>
      <c r="U173" s="32">
        <f t="shared" si="35"/>
        <v>17.52225</v>
      </c>
      <c r="V173" s="2">
        <f t="shared" si="36"/>
        <v>21026.7</v>
      </c>
      <c r="W173" s="2">
        <f t="shared" si="37"/>
        <v>3212.4125</v>
      </c>
      <c r="X173" s="2">
        <f t="shared" si="38"/>
        <v>33876.35</v>
      </c>
      <c r="Y173" s="2">
        <f t="shared" si="39"/>
        <v>3048.8714999999997</v>
      </c>
      <c r="Z173" s="2">
        <f t="shared" si="40"/>
        <v>813.0323999999999</v>
      </c>
      <c r="AA173" s="2">
        <f t="shared" si="41"/>
        <v>7074.3164</v>
      </c>
      <c r="AB173" s="2">
        <f t="shared" si="42"/>
        <v>47.16210933333333</v>
      </c>
    </row>
    <row r="174" spans="1:28" ht="15">
      <c r="A174" s="30" t="str">
        <f t="shared" si="30"/>
        <v>Plant - Folding12R-36</v>
      </c>
      <c r="B174" s="47" t="s">
        <v>193</v>
      </c>
      <c r="C174" s="47" t="s">
        <v>376</v>
      </c>
      <c r="D174" s="49">
        <v>36</v>
      </c>
      <c r="E174" s="3">
        <v>6.75</v>
      </c>
      <c r="F174" s="3">
        <v>0.65</v>
      </c>
      <c r="G174" s="84">
        <f t="shared" si="44"/>
        <v>0.05223171889838557</v>
      </c>
      <c r="H174" s="150">
        <v>44240</v>
      </c>
      <c r="I174" s="150">
        <v>45</v>
      </c>
      <c r="J174" s="150">
        <v>45</v>
      </c>
      <c r="K174" s="150">
        <v>8</v>
      </c>
      <c r="L174" s="150">
        <v>150</v>
      </c>
      <c r="M174" s="48">
        <v>0</v>
      </c>
      <c r="N174" s="34">
        <f t="shared" si="31"/>
        <v>1200</v>
      </c>
      <c r="O174" s="28">
        <v>1</v>
      </c>
      <c r="P174" s="41">
        <v>0.27</v>
      </c>
      <c r="Q174" s="41">
        <v>1.4</v>
      </c>
      <c r="R174" s="31">
        <f t="shared" si="32"/>
        <v>838.8931441345189</v>
      </c>
      <c r="S174" s="31">
        <f t="shared" si="33"/>
        <v>5.5926209608967925</v>
      </c>
      <c r="T174" s="32">
        <f t="shared" si="34"/>
        <v>2488.5</v>
      </c>
      <c r="U174" s="32">
        <f t="shared" si="35"/>
        <v>16.59</v>
      </c>
      <c r="V174" s="2">
        <f t="shared" si="36"/>
        <v>19908</v>
      </c>
      <c r="W174" s="2">
        <f t="shared" si="37"/>
        <v>3041.5</v>
      </c>
      <c r="X174" s="2">
        <f t="shared" si="38"/>
        <v>32074</v>
      </c>
      <c r="Y174" s="2">
        <f t="shared" si="39"/>
        <v>2886.66</v>
      </c>
      <c r="Z174" s="2">
        <f t="shared" si="40"/>
        <v>769.7760000000001</v>
      </c>
      <c r="AA174" s="2">
        <f t="shared" si="41"/>
        <v>6697.936</v>
      </c>
      <c r="AB174" s="2">
        <f t="shared" si="42"/>
        <v>44.65290666666667</v>
      </c>
    </row>
    <row r="175" spans="1:28" ht="15">
      <c r="A175" s="30" t="str">
        <f t="shared" si="30"/>
        <v>Plant - Folding16R-30</v>
      </c>
      <c r="B175" s="47" t="s">
        <v>193</v>
      </c>
      <c r="C175" s="47" t="s">
        <v>222</v>
      </c>
      <c r="D175" s="49">
        <v>40</v>
      </c>
      <c r="E175" s="3">
        <v>6.75</v>
      </c>
      <c r="F175" s="3">
        <v>0.65</v>
      </c>
      <c r="G175" s="84">
        <f t="shared" si="44"/>
        <v>0.04700854700854701</v>
      </c>
      <c r="H175" s="150">
        <v>65362</v>
      </c>
      <c r="I175" s="150">
        <v>45</v>
      </c>
      <c r="J175" s="150">
        <v>45</v>
      </c>
      <c r="K175" s="150">
        <v>8</v>
      </c>
      <c r="L175" s="150">
        <v>150</v>
      </c>
      <c r="M175" s="48">
        <v>0</v>
      </c>
      <c r="N175" s="34">
        <f t="shared" si="31"/>
        <v>1200</v>
      </c>
      <c r="O175" s="28">
        <v>1</v>
      </c>
      <c r="P175" s="41">
        <v>0.27</v>
      </c>
      <c r="Q175" s="41">
        <v>1.4</v>
      </c>
      <c r="R175" s="31">
        <f t="shared" si="32"/>
        <v>1239.4153184204436</v>
      </c>
      <c r="S175" s="31">
        <f t="shared" si="33"/>
        <v>8.262768789469623</v>
      </c>
      <c r="T175" s="32">
        <f t="shared" si="34"/>
        <v>3676.6125</v>
      </c>
      <c r="U175" s="32">
        <f t="shared" si="35"/>
        <v>24.51075</v>
      </c>
      <c r="V175" s="2">
        <f t="shared" si="36"/>
        <v>29412.9</v>
      </c>
      <c r="W175" s="2">
        <f t="shared" si="37"/>
        <v>4493.6375</v>
      </c>
      <c r="X175" s="2">
        <f t="shared" si="38"/>
        <v>47387.45</v>
      </c>
      <c r="Y175" s="2">
        <f t="shared" si="39"/>
        <v>4264.8705</v>
      </c>
      <c r="Z175" s="2">
        <f t="shared" si="40"/>
        <v>1137.2988</v>
      </c>
      <c r="AA175" s="2">
        <f t="shared" si="41"/>
        <v>9895.806799999998</v>
      </c>
      <c r="AB175" s="2">
        <f t="shared" si="42"/>
        <v>65.97204533333333</v>
      </c>
    </row>
    <row r="176" spans="1:28" ht="15">
      <c r="A176" s="30" t="str">
        <f t="shared" si="30"/>
        <v>Plant - Folding23R-15</v>
      </c>
      <c r="B176" s="47" t="s">
        <v>193</v>
      </c>
      <c r="C176" s="47" t="s">
        <v>225</v>
      </c>
      <c r="D176" s="49">
        <v>28.8</v>
      </c>
      <c r="E176" s="3">
        <v>6.75</v>
      </c>
      <c r="F176" s="3">
        <v>0.65</v>
      </c>
      <c r="G176" s="84">
        <f t="shared" si="44"/>
        <v>0.06528964862298195</v>
      </c>
      <c r="H176" s="150">
        <v>73917</v>
      </c>
      <c r="I176" s="150">
        <v>45</v>
      </c>
      <c r="J176" s="150">
        <v>45</v>
      </c>
      <c r="K176" s="150">
        <v>8</v>
      </c>
      <c r="L176" s="150">
        <v>150</v>
      </c>
      <c r="M176" s="48">
        <v>0</v>
      </c>
      <c r="N176" s="34">
        <f t="shared" si="31"/>
        <v>1200</v>
      </c>
      <c r="O176" s="28">
        <v>1</v>
      </c>
      <c r="P176" s="41">
        <v>0.27</v>
      </c>
      <c r="Q176" s="41">
        <v>1.4</v>
      </c>
      <c r="R176" s="31">
        <f t="shared" si="32"/>
        <v>1401.6379867764745</v>
      </c>
      <c r="S176" s="31">
        <f t="shared" si="33"/>
        <v>9.344253245176496</v>
      </c>
      <c r="T176" s="32">
        <f t="shared" si="34"/>
        <v>4157.83125</v>
      </c>
      <c r="U176" s="32">
        <f t="shared" si="35"/>
        <v>27.718875</v>
      </c>
      <c r="V176" s="2">
        <f t="shared" si="36"/>
        <v>33262.65</v>
      </c>
      <c r="W176" s="2">
        <f t="shared" si="37"/>
        <v>5081.79375</v>
      </c>
      <c r="X176" s="2">
        <f t="shared" si="38"/>
        <v>53589.825</v>
      </c>
      <c r="Y176" s="2">
        <f t="shared" si="39"/>
        <v>4823.08425</v>
      </c>
      <c r="Z176" s="2">
        <f t="shared" si="40"/>
        <v>1286.1558</v>
      </c>
      <c r="AA176" s="2">
        <f t="shared" si="41"/>
        <v>11191.033800000001</v>
      </c>
      <c r="AB176" s="2">
        <f t="shared" si="42"/>
        <v>74.606892</v>
      </c>
    </row>
    <row r="177" spans="1:28" ht="15">
      <c r="A177" s="30" t="str">
        <f t="shared" si="30"/>
        <v>Plant - Folding24R-20</v>
      </c>
      <c r="B177" s="47" t="s">
        <v>193</v>
      </c>
      <c r="C177" s="47" t="s">
        <v>223</v>
      </c>
      <c r="D177" s="49">
        <v>40</v>
      </c>
      <c r="E177" s="3">
        <v>6.75</v>
      </c>
      <c r="F177" s="3">
        <v>0.65</v>
      </c>
      <c r="G177" s="84">
        <f t="shared" si="44"/>
        <v>0.04700854700854701</v>
      </c>
      <c r="H177" s="150">
        <v>88673</v>
      </c>
      <c r="I177" s="150">
        <v>45</v>
      </c>
      <c r="J177" s="150">
        <v>45</v>
      </c>
      <c r="K177" s="150">
        <v>8</v>
      </c>
      <c r="L177" s="150">
        <v>150</v>
      </c>
      <c r="M177" s="48">
        <v>0</v>
      </c>
      <c r="N177" s="34">
        <f t="shared" si="31"/>
        <v>1200</v>
      </c>
      <c r="O177" s="28">
        <v>1</v>
      </c>
      <c r="P177" s="41">
        <v>0.27</v>
      </c>
      <c r="Q177" s="41">
        <v>1.4</v>
      </c>
      <c r="R177" s="31">
        <f t="shared" si="32"/>
        <v>1681.446016497292</v>
      </c>
      <c r="S177" s="31">
        <f t="shared" si="33"/>
        <v>11.209640109981947</v>
      </c>
      <c r="T177" s="32">
        <f t="shared" si="34"/>
        <v>4987.85625</v>
      </c>
      <c r="U177" s="32">
        <f t="shared" si="35"/>
        <v>33.252375</v>
      </c>
      <c r="V177" s="2">
        <f t="shared" si="36"/>
        <v>39902.85</v>
      </c>
      <c r="W177" s="2">
        <f t="shared" si="37"/>
        <v>6096.26875</v>
      </c>
      <c r="X177" s="2">
        <f t="shared" si="38"/>
        <v>64287.925</v>
      </c>
      <c r="Y177" s="2">
        <f t="shared" si="39"/>
        <v>5785.91325</v>
      </c>
      <c r="Z177" s="2">
        <f t="shared" si="40"/>
        <v>1542.9102</v>
      </c>
      <c r="AA177" s="2">
        <f t="shared" si="41"/>
        <v>13425.0922</v>
      </c>
      <c r="AB177" s="2">
        <f t="shared" si="42"/>
        <v>89.50061466666666</v>
      </c>
    </row>
    <row r="178" spans="1:28" ht="15">
      <c r="A178" s="30" t="str">
        <f t="shared" si="30"/>
        <v>Plant - Folding24R-30</v>
      </c>
      <c r="B178" s="47" t="s">
        <v>193</v>
      </c>
      <c r="C178" s="47" t="s">
        <v>224</v>
      </c>
      <c r="D178" s="49">
        <v>60</v>
      </c>
      <c r="E178" s="3">
        <v>6.75</v>
      </c>
      <c r="F178" s="3">
        <v>0.65</v>
      </c>
      <c r="G178" s="84">
        <f t="shared" si="44"/>
        <v>0.03133903133903134</v>
      </c>
      <c r="H178" s="150">
        <v>98303</v>
      </c>
      <c r="I178" s="150">
        <v>45</v>
      </c>
      <c r="J178" s="150">
        <v>45</v>
      </c>
      <c r="K178" s="150">
        <v>8</v>
      </c>
      <c r="L178" s="150">
        <v>150</v>
      </c>
      <c r="M178" s="48">
        <v>0</v>
      </c>
      <c r="N178" s="34">
        <f t="shared" si="31"/>
        <v>1200</v>
      </c>
      <c r="O178" s="28">
        <v>1</v>
      </c>
      <c r="P178" s="41">
        <v>0.27</v>
      </c>
      <c r="Q178" s="41">
        <v>1.4</v>
      </c>
      <c r="R178" s="31">
        <f t="shared" si="32"/>
        <v>1864.053181461474</v>
      </c>
      <c r="S178" s="31">
        <f t="shared" si="33"/>
        <v>12.42702120974316</v>
      </c>
      <c r="T178" s="32">
        <f t="shared" si="34"/>
        <v>5529.54375</v>
      </c>
      <c r="U178" s="32">
        <f t="shared" si="35"/>
        <v>36.863625</v>
      </c>
      <c r="V178" s="2">
        <f t="shared" si="36"/>
        <v>44236.35</v>
      </c>
      <c r="W178" s="2">
        <f t="shared" si="37"/>
        <v>6758.33125</v>
      </c>
      <c r="X178" s="2">
        <f t="shared" si="38"/>
        <v>71269.675</v>
      </c>
      <c r="Y178" s="2">
        <f t="shared" si="39"/>
        <v>6414.27075</v>
      </c>
      <c r="Z178" s="2">
        <f t="shared" si="40"/>
        <v>1710.4722000000002</v>
      </c>
      <c r="AA178" s="2">
        <f t="shared" si="41"/>
        <v>14883.0742</v>
      </c>
      <c r="AB178" s="2">
        <f t="shared" si="42"/>
        <v>99.22049466666667</v>
      </c>
    </row>
    <row r="179" spans="1:28" ht="15">
      <c r="A179" s="30" t="str">
        <f t="shared" si="30"/>
        <v>Plant - Folding8R-36</v>
      </c>
      <c r="B179" s="47" t="s">
        <v>193</v>
      </c>
      <c r="C179" s="47" t="s">
        <v>377</v>
      </c>
      <c r="D179" s="49">
        <v>24</v>
      </c>
      <c r="E179" s="3">
        <v>6.75</v>
      </c>
      <c r="F179" s="3">
        <v>0.65</v>
      </c>
      <c r="G179" s="84">
        <f t="shared" si="44"/>
        <v>0.07834757834757834</v>
      </c>
      <c r="H179" s="150">
        <v>30687</v>
      </c>
      <c r="I179" s="150">
        <v>45</v>
      </c>
      <c r="J179" s="150">
        <v>45</v>
      </c>
      <c r="K179" s="150">
        <v>8</v>
      </c>
      <c r="L179" s="150">
        <v>150</v>
      </c>
      <c r="M179" s="48">
        <v>0</v>
      </c>
      <c r="N179" s="34">
        <f t="shared" si="31"/>
        <v>1200</v>
      </c>
      <c r="O179" s="28">
        <v>1</v>
      </c>
      <c r="P179" s="41">
        <v>0.27</v>
      </c>
      <c r="Q179" s="41">
        <v>1.4</v>
      </c>
      <c r="R179" s="31">
        <f t="shared" si="32"/>
        <v>581.8967882924046</v>
      </c>
      <c r="S179" s="31">
        <f t="shared" si="33"/>
        <v>3.879311921949364</v>
      </c>
      <c r="T179" s="32">
        <f t="shared" si="34"/>
        <v>1726.14375</v>
      </c>
      <c r="U179" s="32">
        <f t="shared" si="35"/>
        <v>11.507624999999999</v>
      </c>
      <c r="V179" s="2">
        <f t="shared" si="36"/>
        <v>13809.15</v>
      </c>
      <c r="W179" s="2">
        <f t="shared" si="37"/>
        <v>2109.73125</v>
      </c>
      <c r="X179" s="2">
        <f t="shared" si="38"/>
        <v>22248.075</v>
      </c>
      <c r="Y179" s="2">
        <f t="shared" si="39"/>
        <v>2002.32675</v>
      </c>
      <c r="Z179" s="2">
        <f t="shared" si="40"/>
        <v>533.9538</v>
      </c>
      <c r="AA179" s="2">
        <f t="shared" si="41"/>
        <v>4646.0118</v>
      </c>
      <c r="AB179" s="2">
        <f t="shared" si="42"/>
        <v>30.973412</v>
      </c>
    </row>
    <row r="180" spans="1:28" ht="15">
      <c r="A180" s="30" t="str">
        <f t="shared" si="30"/>
        <v>Plant - Folding8R-40 2x1</v>
      </c>
      <c r="B180" s="47" t="s">
        <v>193</v>
      </c>
      <c r="C180" s="47" t="s">
        <v>113</v>
      </c>
      <c r="D180" s="49">
        <v>40</v>
      </c>
      <c r="E180" s="3">
        <v>6.75</v>
      </c>
      <c r="F180" s="3">
        <v>0.65</v>
      </c>
      <c r="G180" s="84">
        <f t="shared" si="44"/>
        <v>0.04700854700854701</v>
      </c>
      <c r="H180" s="150">
        <v>44240</v>
      </c>
      <c r="I180" s="150">
        <v>45</v>
      </c>
      <c r="J180" s="150">
        <v>45</v>
      </c>
      <c r="K180" s="150">
        <v>8</v>
      </c>
      <c r="L180" s="150">
        <v>150</v>
      </c>
      <c r="M180" s="48">
        <v>0</v>
      </c>
      <c r="N180" s="34">
        <f t="shared" si="31"/>
        <v>1200</v>
      </c>
      <c r="O180" s="28">
        <v>1</v>
      </c>
      <c r="P180" s="41">
        <v>0.27</v>
      </c>
      <c r="Q180" s="41">
        <v>1.4</v>
      </c>
      <c r="R180" s="31">
        <f t="shared" si="32"/>
        <v>838.8931441345189</v>
      </c>
      <c r="S180" s="31">
        <f t="shared" si="33"/>
        <v>5.5926209608967925</v>
      </c>
      <c r="T180" s="32">
        <f t="shared" si="34"/>
        <v>2488.5</v>
      </c>
      <c r="U180" s="32">
        <f t="shared" si="35"/>
        <v>16.59</v>
      </c>
      <c r="V180" s="2">
        <f t="shared" si="36"/>
        <v>19908</v>
      </c>
      <c r="W180" s="2">
        <f t="shared" si="37"/>
        <v>3041.5</v>
      </c>
      <c r="X180" s="2">
        <f t="shared" si="38"/>
        <v>32074</v>
      </c>
      <c r="Y180" s="2">
        <f t="shared" si="39"/>
        <v>2886.66</v>
      </c>
      <c r="Z180" s="2">
        <f t="shared" si="40"/>
        <v>769.7760000000001</v>
      </c>
      <c r="AA180" s="2">
        <f t="shared" si="41"/>
        <v>6697.936</v>
      </c>
      <c r="AB180" s="2">
        <f t="shared" si="42"/>
        <v>44.65290666666667</v>
      </c>
    </row>
    <row r="181" spans="1:28" ht="15">
      <c r="A181" s="30" t="str">
        <f t="shared" si="30"/>
        <v>Plant - Rigid10R-30</v>
      </c>
      <c r="B181" s="47" t="s">
        <v>191</v>
      </c>
      <c r="C181" s="47" t="s">
        <v>103</v>
      </c>
      <c r="D181" s="49">
        <v>25</v>
      </c>
      <c r="E181" s="3">
        <v>6.75</v>
      </c>
      <c r="F181" s="3">
        <v>0.65</v>
      </c>
      <c r="G181" s="84">
        <f t="shared" si="44"/>
        <v>0.07521367521367521</v>
      </c>
      <c r="H181" s="150">
        <v>23890</v>
      </c>
      <c r="I181" s="150">
        <v>45</v>
      </c>
      <c r="J181" s="150">
        <v>45</v>
      </c>
      <c r="K181" s="150">
        <v>8</v>
      </c>
      <c r="L181" s="150">
        <v>150</v>
      </c>
      <c r="M181" s="48">
        <v>0</v>
      </c>
      <c r="N181" s="34">
        <f t="shared" si="31"/>
        <v>1200</v>
      </c>
      <c r="O181" s="28">
        <v>1</v>
      </c>
      <c r="P181" s="41">
        <v>0.27</v>
      </c>
      <c r="Q181" s="41">
        <v>1.4</v>
      </c>
      <c r="R181" s="31">
        <f t="shared" si="32"/>
        <v>453.0098827616107</v>
      </c>
      <c r="S181" s="31">
        <f t="shared" si="33"/>
        <v>3.0200658850774045</v>
      </c>
      <c r="T181" s="32">
        <f t="shared" si="34"/>
        <v>1343.8125</v>
      </c>
      <c r="U181" s="32">
        <f t="shared" si="35"/>
        <v>8.95875</v>
      </c>
      <c r="V181" s="2">
        <f t="shared" si="36"/>
        <v>10750.5</v>
      </c>
      <c r="W181" s="2">
        <f t="shared" si="37"/>
        <v>1642.4375</v>
      </c>
      <c r="X181" s="2">
        <f t="shared" si="38"/>
        <v>17320.25</v>
      </c>
      <c r="Y181" s="2">
        <f t="shared" si="39"/>
        <v>1558.8225</v>
      </c>
      <c r="Z181" s="2">
        <f t="shared" si="40"/>
        <v>415.68600000000004</v>
      </c>
      <c r="AA181" s="2">
        <f t="shared" si="41"/>
        <v>3616.946</v>
      </c>
      <c r="AB181" s="2">
        <f t="shared" si="42"/>
        <v>24.112973333333333</v>
      </c>
    </row>
    <row r="182" spans="1:28" ht="15">
      <c r="A182" s="30" t="str">
        <f t="shared" si="30"/>
        <v>Plant - Rigid12R-20</v>
      </c>
      <c r="B182" s="47" t="s">
        <v>191</v>
      </c>
      <c r="C182" s="47" t="s">
        <v>130</v>
      </c>
      <c r="D182" s="49">
        <v>20</v>
      </c>
      <c r="E182" s="3">
        <v>6.75</v>
      </c>
      <c r="F182" s="3">
        <v>0.65</v>
      </c>
      <c r="G182" s="84">
        <f t="shared" si="44"/>
        <v>0.09401709401709402</v>
      </c>
      <c r="H182" s="150">
        <v>28254</v>
      </c>
      <c r="I182" s="150">
        <v>45</v>
      </c>
      <c r="J182" s="150">
        <v>45</v>
      </c>
      <c r="K182" s="150">
        <v>8</v>
      </c>
      <c r="L182" s="150">
        <v>150</v>
      </c>
      <c r="M182" s="48">
        <v>0</v>
      </c>
      <c r="N182" s="34">
        <f t="shared" si="31"/>
        <v>1200</v>
      </c>
      <c r="O182" s="28">
        <v>1</v>
      </c>
      <c r="P182" s="41">
        <v>0.27</v>
      </c>
      <c r="Q182" s="41">
        <v>1.4</v>
      </c>
      <c r="R182" s="31">
        <f t="shared" si="32"/>
        <v>535.7614578294914</v>
      </c>
      <c r="S182" s="31">
        <f t="shared" si="33"/>
        <v>3.5717430521966094</v>
      </c>
      <c r="T182" s="32">
        <f t="shared" si="34"/>
        <v>1589.2875</v>
      </c>
      <c r="U182" s="32">
        <f t="shared" si="35"/>
        <v>10.59525</v>
      </c>
      <c r="V182" s="2">
        <f t="shared" si="36"/>
        <v>12714.3</v>
      </c>
      <c r="W182" s="2">
        <f t="shared" si="37"/>
        <v>1942.4625</v>
      </c>
      <c r="X182" s="2">
        <f t="shared" si="38"/>
        <v>20484.15</v>
      </c>
      <c r="Y182" s="2">
        <f t="shared" si="39"/>
        <v>1843.5735</v>
      </c>
      <c r="Z182" s="2">
        <f t="shared" si="40"/>
        <v>491.61960000000005</v>
      </c>
      <c r="AA182" s="2">
        <f t="shared" si="41"/>
        <v>4277.6556</v>
      </c>
      <c r="AB182" s="2">
        <f t="shared" si="42"/>
        <v>28.517704000000002</v>
      </c>
    </row>
    <row r="183" spans="1:28" ht="15">
      <c r="A183" s="30" t="str">
        <f t="shared" si="30"/>
        <v>Plant - Rigid12R-30</v>
      </c>
      <c r="B183" s="47" t="s">
        <v>191</v>
      </c>
      <c r="C183" s="47" t="s">
        <v>213</v>
      </c>
      <c r="D183" s="49">
        <v>30</v>
      </c>
      <c r="E183" s="3">
        <v>6.75</v>
      </c>
      <c r="F183" s="3">
        <v>0.65</v>
      </c>
      <c r="G183" s="84">
        <f t="shared" si="44"/>
        <v>0.06267806267806268</v>
      </c>
      <c r="H183" s="150">
        <v>43187</v>
      </c>
      <c r="I183" s="150">
        <v>45</v>
      </c>
      <c r="J183" s="150">
        <v>45</v>
      </c>
      <c r="K183" s="150">
        <v>8</v>
      </c>
      <c r="L183" s="150">
        <v>150</v>
      </c>
      <c r="M183" s="48">
        <v>0</v>
      </c>
      <c r="N183" s="34">
        <f t="shared" si="31"/>
        <v>1200</v>
      </c>
      <c r="O183" s="28">
        <v>1</v>
      </c>
      <c r="P183" s="41">
        <v>0.27</v>
      </c>
      <c r="Q183" s="41">
        <v>1.4</v>
      </c>
      <c r="R183" s="31">
        <f t="shared" si="32"/>
        <v>818.925818619744</v>
      </c>
      <c r="S183" s="31">
        <f t="shared" si="33"/>
        <v>5.459505457464959</v>
      </c>
      <c r="T183" s="32">
        <f t="shared" si="34"/>
        <v>2429.26875</v>
      </c>
      <c r="U183" s="32">
        <f t="shared" si="35"/>
        <v>16.195125</v>
      </c>
      <c r="V183" s="2">
        <f t="shared" si="36"/>
        <v>19434.15</v>
      </c>
      <c r="W183" s="2">
        <f t="shared" si="37"/>
        <v>2969.10625</v>
      </c>
      <c r="X183" s="2">
        <f t="shared" si="38"/>
        <v>31310.575</v>
      </c>
      <c r="Y183" s="2">
        <f t="shared" si="39"/>
        <v>2817.95175</v>
      </c>
      <c r="Z183" s="2">
        <f t="shared" si="40"/>
        <v>751.4538</v>
      </c>
      <c r="AA183" s="2">
        <f t="shared" si="41"/>
        <v>6538.5118</v>
      </c>
      <c r="AB183" s="2">
        <f t="shared" si="42"/>
        <v>43.59007866666667</v>
      </c>
    </row>
    <row r="184" spans="1:28" ht="15">
      <c r="A184" s="30" t="str">
        <f t="shared" si="30"/>
        <v>Plant - Rigid4R-30</v>
      </c>
      <c r="B184" s="47" t="s">
        <v>191</v>
      </c>
      <c r="C184" s="47" t="s">
        <v>112</v>
      </c>
      <c r="D184" s="49">
        <v>10</v>
      </c>
      <c r="E184" s="3">
        <v>6.75</v>
      </c>
      <c r="F184" s="3">
        <v>0.65</v>
      </c>
      <c r="G184" s="84">
        <f t="shared" si="44"/>
        <v>0.18803418803418803</v>
      </c>
      <c r="H184" s="150">
        <v>14046</v>
      </c>
      <c r="I184" s="150">
        <v>45</v>
      </c>
      <c r="J184" s="150">
        <v>45</v>
      </c>
      <c r="K184" s="150">
        <v>8</v>
      </c>
      <c r="L184" s="150">
        <v>150</v>
      </c>
      <c r="M184" s="48">
        <v>0</v>
      </c>
      <c r="N184" s="34">
        <f t="shared" si="31"/>
        <v>1200</v>
      </c>
      <c r="O184" s="28">
        <v>1</v>
      </c>
      <c r="P184" s="41">
        <v>0.27</v>
      </c>
      <c r="Q184" s="41">
        <v>1.4</v>
      </c>
      <c r="R184" s="31">
        <f t="shared" si="32"/>
        <v>266.3447807982245</v>
      </c>
      <c r="S184" s="31">
        <f t="shared" si="33"/>
        <v>1.7756318719881634</v>
      </c>
      <c r="T184" s="32">
        <f t="shared" si="34"/>
        <v>790.0875</v>
      </c>
      <c r="U184" s="32">
        <f t="shared" si="35"/>
        <v>5.26725</v>
      </c>
      <c r="V184" s="2">
        <f t="shared" si="36"/>
        <v>6320.7</v>
      </c>
      <c r="W184" s="2">
        <f t="shared" si="37"/>
        <v>965.6625</v>
      </c>
      <c r="X184" s="2">
        <f t="shared" si="38"/>
        <v>10183.35</v>
      </c>
      <c r="Y184" s="2">
        <f t="shared" si="39"/>
        <v>916.5015</v>
      </c>
      <c r="Z184" s="2">
        <f t="shared" si="40"/>
        <v>244.40040000000002</v>
      </c>
      <c r="AA184" s="2">
        <f t="shared" si="41"/>
        <v>2126.5644</v>
      </c>
      <c r="AB184" s="2">
        <f t="shared" si="42"/>
        <v>14.177096</v>
      </c>
    </row>
    <row r="185" spans="1:28" ht="15">
      <c r="A185" s="30" t="str">
        <f t="shared" si="30"/>
        <v>Plant - Rigid4R-36</v>
      </c>
      <c r="B185" s="47" t="s">
        <v>191</v>
      </c>
      <c r="C185" s="47" t="s">
        <v>373</v>
      </c>
      <c r="D185" s="49">
        <v>12</v>
      </c>
      <c r="E185" s="3">
        <v>6.75</v>
      </c>
      <c r="F185" s="3">
        <v>0.65</v>
      </c>
      <c r="G185" s="84">
        <f t="shared" si="44"/>
        <v>0.15669515669515668</v>
      </c>
      <c r="H185" s="150">
        <v>13621</v>
      </c>
      <c r="I185" s="150">
        <v>45</v>
      </c>
      <c r="J185" s="150">
        <v>45</v>
      </c>
      <c r="K185" s="150">
        <v>8</v>
      </c>
      <c r="L185" s="150">
        <v>150</v>
      </c>
      <c r="M185" s="48">
        <v>0</v>
      </c>
      <c r="N185" s="34">
        <f t="shared" si="31"/>
        <v>1200</v>
      </c>
      <c r="O185" s="28">
        <v>1</v>
      </c>
      <c r="P185" s="41">
        <v>0.27</v>
      </c>
      <c r="Q185" s="41">
        <v>1.4</v>
      </c>
      <c r="R185" s="31">
        <f t="shared" si="32"/>
        <v>258.28579376709496</v>
      </c>
      <c r="S185" s="31">
        <f t="shared" si="33"/>
        <v>1.721905291780633</v>
      </c>
      <c r="T185" s="32">
        <f t="shared" si="34"/>
        <v>766.18125</v>
      </c>
      <c r="U185" s="32">
        <f t="shared" si="35"/>
        <v>5.107875</v>
      </c>
      <c r="V185" s="2">
        <f t="shared" si="36"/>
        <v>6129.45</v>
      </c>
      <c r="W185" s="2">
        <f t="shared" si="37"/>
        <v>936.44375</v>
      </c>
      <c r="X185" s="2">
        <f t="shared" si="38"/>
        <v>9875.225</v>
      </c>
      <c r="Y185" s="2">
        <f t="shared" si="39"/>
        <v>888.77025</v>
      </c>
      <c r="Z185" s="2">
        <f t="shared" si="40"/>
        <v>237.0054</v>
      </c>
      <c r="AA185" s="2">
        <f t="shared" si="41"/>
        <v>2062.2194</v>
      </c>
      <c r="AB185" s="2">
        <f t="shared" si="42"/>
        <v>13.748129333333333</v>
      </c>
    </row>
    <row r="186" spans="1:28" ht="15">
      <c r="A186" s="30" t="str">
        <f t="shared" si="30"/>
        <v>Plant - Rigid6R-30</v>
      </c>
      <c r="B186" s="47" t="s">
        <v>191</v>
      </c>
      <c r="C186" s="47" t="s">
        <v>99</v>
      </c>
      <c r="D186" s="49">
        <v>15</v>
      </c>
      <c r="E186" s="3">
        <v>6.75</v>
      </c>
      <c r="F186" s="3">
        <v>0.65</v>
      </c>
      <c r="G186" s="84">
        <f t="shared" si="44"/>
        <v>0.12535612535612536</v>
      </c>
      <c r="H186" s="150">
        <v>19053</v>
      </c>
      <c r="I186" s="150">
        <v>45</v>
      </c>
      <c r="J186" s="150">
        <v>45</v>
      </c>
      <c r="K186" s="150">
        <v>8</v>
      </c>
      <c r="L186" s="150">
        <v>150</v>
      </c>
      <c r="M186" s="48">
        <v>0</v>
      </c>
      <c r="N186" s="34">
        <f t="shared" si="31"/>
        <v>1200</v>
      </c>
      <c r="O186" s="28">
        <v>1</v>
      </c>
      <c r="P186" s="41">
        <v>0.27</v>
      </c>
      <c r="Q186" s="41">
        <v>1.4</v>
      </c>
      <c r="R186" s="31">
        <f t="shared" si="32"/>
        <v>361.2891291861435</v>
      </c>
      <c r="S186" s="31">
        <f t="shared" si="33"/>
        <v>2.40859419457429</v>
      </c>
      <c r="T186" s="32">
        <f t="shared" si="34"/>
        <v>1071.73125</v>
      </c>
      <c r="U186" s="32">
        <f t="shared" si="35"/>
        <v>7.144875</v>
      </c>
      <c r="V186" s="2">
        <f t="shared" si="36"/>
        <v>8573.85</v>
      </c>
      <c r="W186" s="2">
        <f t="shared" si="37"/>
        <v>1309.89375</v>
      </c>
      <c r="X186" s="2">
        <f t="shared" si="38"/>
        <v>13813.425</v>
      </c>
      <c r="Y186" s="2">
        <f t="shared" si="39"/>
        <v>1243.20825</v>
      </c>
      <c r="Z186" s="2">
        <f t="shared" si="40"/>
        <v>331.5222</v>
      </c>
      <c r="AA186" s="2">
        <f t="shared" si="41"/>
        <v>2884.6242</v>
      </c>
      <c r="AB186" s="2">
        <f t="shared" si="42"/>
        <v>19.230828000000002</v>
      </c>
    </row>
    <row r="187" spans="1:28" ht="15">
      <c r="A187" s="30" t="str">
        <f t="shared" si="30"/>
        <v>Plant - Rigid6R-36</v>
      </c>
      <c r="B187" s="47" t="s">
        <v>191</v>
      </c>
      <c r="C187" s="47" t="s">
        <v>374</v>
      </c>
      <c r="D187" s="49">
        <v>18</v>
      </c>
      <c r="E187" s="3">
        <v>6.75</v>
      </c>
      <c r="F187" s="3">
        <v>0.65</v>
      </c>
      <c r="G187" s="84">
        <f t="shared" si="44"/>
        <v>0.10446343779677114</v>
      </c>
      <c r="H187" s="150">
        <v>18247</v>
      </c>
      <c r="I187" s="150">
        <v>45</v>
      </c>
      <c r="J187" s="150">
        <v>45</v>
      </c>
      <c r="K187" s="150">
        <v>8</v>
      </c>
      <c r="L187" s="150">
        <v>150</v>
      </c>
      <c r="M187" s="48">
        <v>0</v>
      </c>
      <c r="N187" s="34">
        <f t="shared" si="31"/>
        <v>1200</v>
      </c>
      <c r="O187" s="28">
        <v>1</v>
      </c>
      <c r="P187" s="41">
        <v>0.27</v>
      </c>
      <c r="Q187" s="41">
        <v>1.4</v>
      </c>
      <c r="R187" s="31">
        <f t="shared" si="32"/>
        <v>346.0054973106367</v>
      </c>
      <c r="S187" s="31">
        <f t="shared" si="33"/>
        <v>2.3067033154042447</v>
      </c>
      <c r="T187" s="32">
        <f t="shared" si="34"/>
        <v>1026.39375</v>
      </c>
      <c r="U187" s="32">
        <f t="shared" si="35"/>
        <v>6.842625</v>
      </c>
      <c r="V187" s="2">
        <f t="shared" si="36"/>
        <v>8211.15</v>
      </c>
      <c r="W187" s="2">
        <f t="shared" si="37"/>
        <v>1254.48125</v>
      </c>
      <c r="X187" s="2">
        <f t="shared" si="38"/>
        <v>13229.075</v>
      </c>
      <c r="Y187" s="2">
        <f t="shared" si="39"/>
        <v>1190.61675</v>
      </c>
      <c r="Z187" s="2">
        <f t="shared" si="40"/>
        <v>317.49780000000004</v>
      </c>
      <c r="AA187" s="2">
        <f t="shared" si="41"/>
        <v>2762.5958</v>
      </c>
      <c r="AB187" s="2">
        <f t="shared" si="42"/>
        <v>18.417305333333335</v>
      </c>
    </row>
    <row r="188" spans="1:28" ht="15">
      <c r="A188" s="30" t="str">
        <f t="shared" si="30"/>
        <v>Plant - Rigid8R-22</v>
      </c>
      <c r="B188" s="47" t="s">
        <v>191</v>
      </c>
      <c r="C188" s="47" t="s">
        <v>192</v>
      </c>
      <c r="D188" s="49">
        <v>14.7</v>
      </c>
      <c r="E188" s="3">
        <v>6.75</v>
      </c>
      <c r="F188" s="3">
        <v>0.65</v>
      </c>
      <c r="G188" s="84">
        <f t="shared" si="44"/>
        <v>0.12791441362869937</v>
      </c>
      <c r="H188" s="150">
        <v>18473</v>
      </c>
      <c r="I188" s="150">
        <v>45</v>
      </c>
      <c r="J188" s="150">
        <v>45</v>
      </c>
      <c r="K188" s="150">
        <v>8</v>
      </c>
      <c r="L188" s="150">
        <v>150</v>
      </c>
      <c r="M188" s="48">
        <v>0</v>
      </c>
      <c r="N188" s="34">
        <f t="shared" si="31"/>
        <v>1200</v>
      </c>
      <c r="O188" s="28">
        <v>1</v>
      </c>
      <c r="P188" s="41">
        <v>0.27</v>
      </c>
      <c r="Q188" s="41">
        <v>1.4</v>
      </c>
      <c r="R188" s="31">
        <f t="shared" si="32"/>
        <v>350.29098217895495</v>
      </c>
      <c r="S188" s="31">
        <f t="shared" si="33"/>
        <v>2.3352732145263664</v>
      </c>
      <c r="T188" s="32">
        <f t="shared" si="34"/>
        <v>1039.10625</v>
      </c>
      <c r="U188" s="32">
        <f t="shared" si="35"/>
        <v>6.9273750000000005</v>
      </c>
      <c r="V188" s="2">
        <f t="shared" si="36"/>
        <v>8312.85</v>
      </c>
      <c r="W188" s="2">
        <f t="shared" si="37"/>
        <v>1270.01875</v>
      </c>
      <c r="X188" s="2">
        <f t="shared" si="38"/>
        <v>13392.925</v>
      </c>
      <c r="Y188" s="2">
        <f t="shared" si="39"/>
        <v>1205.3632499999999</v>
      </c>
      <c r="Z188" s="2">
        <f t="shared" si="40"/>
        <v>321.4302</v>
      </c>
      <c r="AA188" s="2">
        <f t="shared" si="41"/>
        <v>2796.8122</v>
      </c>
      <c r="AB188" s="2">
        <f t="shared" si="42"/>
        <v>18.645414666666667</v>
      </c>
    </row>
    <row r="189" spans="1:28" ht="15">
      <c r="A189" s="30" t="str">
        <f t="shared" si="30"/>
        <v>Plant - Rigid8R-30</v>
      </c>
      <c r="B189" s="47" t="s">
        <v>191</v>
      </c>
      <c r="C189" s="47" t="s">
        <v>101</v>
      </c>
      <c r="D189" s="49">
        <v>20</v>
      </c>
      <c r="E189" s="3">
        <v>6.75</v>
      </c>
      <c r="F189" s="3">
        <v>0.65</v>
      </c>
      <c r="G189" s="84">
        <f t="shared" si="44"/>
        <v>0.09401709401709402</v>
      </c>
      <c r="H189" s="150">
        <v>22378</v>
      </c>
      <c r="I189" s="150">
        <v>45</v>
      </c>
      <c r="J189" s="150">
        <v>45</v>
      </c>
      <c r="K189" s="150">
        <v>8</v>
      </c>
      <c r="L189" s="150">
        <v>150</v>
      </c>
      <c r="M189" s="48">
        <v>0</v>
      </c>
      <c r="N189" s="34">
        <f t="shared" si="31"/>
        <v>1200</v>
      </c>
      <c r="O189" s="28">
        <v>1</v>
      </c>
      <c r="P189" s="41">
        <v>0.27</v>
      </c>
      <c r="Q189" s="41">
        <v>1.4</v>
      </c>
      <c r="R189" s="31">
        <f t="shared" si="32"/>
        <v>424.33885125321575</v>
      </c>
      <c r="S189" s="31">
        <f t="shared" si="33"/>
        <v>2.828925675021438</v>
      </c>
      <c r="T189" s="32">
        <f t="shared" si="34"/>
        <v>1258.7625</v>
      </c>
      <c r="U189" s="32">
        <f t="shared" si="35"/>
        <v>8.39175</v>
      </c>
      <c r="V189" s="2">
        <f t="shared" si="36"/>
        <v>10070.1</v>
      </c>
      <c r="W189" s="2">
        <f t="shared" si="37"/>
        <v>1538.4875</v>
      </c>
      <c r="X189" s="2">
        <f t="shared" si="38"/>
        <v>16224.05</v>
      </c>
      <c r="Y189" s="2">
        <f t="shared" si="39"/>
        <v>1460.1644999999999</v>
      </c>
      <c r="Z189" s="2">
        <f t="shared" si="40"/>
        <v>389.3772</v>
      </c>
      <c r="AA189" s="2">
        <f t="shared" si="41"/>
        <v>3388.0292</v>
      </c>
      <c r="AB189" s="2">
        <f t="shared" si="42"/>
        <v>22.58686133333333</v>
      </c>
    </row>
    <row r="190" spans="1:28" ht="15">
      <c r="A190" s="30" t="str">
        <f t="shared" si="30"/>
        <v>Plant - Rigid8R-36</v>
      </c>
      <c r="B190" s="47" t="s">
        <v>191</v>
      </c>
      <c r="C190" s="47" t="s">
        <v>377</v>
      </c>
      <c r="D190" s="49">
        <v>24</v>
      </c>
      <c r="E190" s="3">
        <v>6.75</v>
      </c>
      <c r="F190" s="3">
        <v>0.65</v>
      </c>
      <c r="G190" s="84">
        <f t="shared" si="44"/>
        <v>0.07834757834757834</v>
      </c>
      <c r="H190" s="150">
        <v>21960</v>
      </c>
      <c r="I190" s="150">
        <v>45</v>
      </c>
      <c r="J190" s="150">
        <v>45</v>
      </c>
      <c r="K190" s="150">
        <v>8</v>
      </c>
      <c r="L190" s="150">
        <v>150</v>
      </c>
      <c r="M190" s="48">
        <v>0</v>
      </c>
      <c r="N190" s="34">
        <f t="shared" si="31"/>
        <v>1200</v>
      </c>
      <c r="O190" s="28">
        <v>1</v>
      </c>
      <c r="P190" s="41">
        <v>0.27</v>
      </c>
      <c r="Q190" s="41">
        <v>1.4</v>
      </c>
      <c r="R190" s="31">
        <f t="shared" si="32"/>
        <v>416.4126004790695</v>
      </c>
      <c r="S190" s="31">
        <f t="shared" si="33"/>
        <v>2.776084003193797</v>
      </c>
      <c r="T190" s="32">
        <f t="shared" si="34"/>
        <v>1235.25</v>
      </c>
      <c r="U190" s="32">
        <f t="shared" si="35"/>
        <v>8.235</v>
      </c>
      <c r="V190" s="2">
        <f t="shared" si="36"/>
        <v>9882</v>
      </c>
      <c r="W190" s="2">
        <f t="shared" si="37"/>
        <v>1509.75</v>
      </c>
      <c r="X190" s="2">
        <f t="shared" si="38"/>
        <v>15921</v>
      </c>
      <c r="Y190" s="2">
        <f t="shared" si="39"/>
        <v>1432.8899999999999</v>
      </c>
      <c r="Z190" s="2">
        <f t="shared" si="40"/>
        <v>382.104</v>
      </c>
      <c r="AA190" s="2">
        <f t="shared" si="41"/>
        <v>3324.7439999999997</v>
      </c>
      <c r="AB190" s="2">
        <f t="shared" si="42"/>
        <v>22.164959999999997</v>
      </c>
    </row>
    <row r="191" spans="1:28" ht="15">
      <c r="A191" s="30" t="str">
        <f t="shared" si="30"/>
        <v>Plant &amp; Pre Folding10R-30</v>
      </c>
      <c r="B191" s="47" t="s">
        <v>195</v>
      </c>
      <c r="C191" s="47" t="s">
        <v>103</v>
      </c>
      <c r="D191" s="49">
        <v>25</v>
      </c>
      <c r="E191" s="3">
        <v>6.5</v>
      </c>
      <c r="F191" s="3">
        <v>0.65</v>
      </c>
      <c r="G191" s="84">
        <f t="shared" si="44"/>
        <v>0.07810650887573965</v>
      </c>
      <c r="H191" s="150">
        <v>47822</v>
      </c>
      <c r="I191" s="150">
        <v>45</v>
      </c>
      <c r="J191" s="150">
        <v>45</v>
      </c>
      <c r="K191" s="150">
        <v>8</v>
      </c>
      <c r="L191" s="150">
        <v>150</v>
      </c>
      <c r="M191" s="48">
        <v>0</v>
      </c>
      <c r="N191" s="34">
        <f t="shared" si="31"/>
        <v>1200</v>
      </c>
      <c r="O191" s="28">
        <v>1</v>
      </c>
      <c r="P191" s="41">
        <v>0.27</v>
      </c>
      <c r="Q191" s="41">
        <v>1.4</v>
      </c>
      <c r="R191" s="31">
        <f t="shared" si="32"/>
        <v>906.8161830651212</v>
      </c>
      <c r="S191" s="31">
        <f t="shared" si="33"/>
        <v>6.0454412204341414</v>
      </c>
      <c r="T191" s="32">
        <f t="shared" si="34"/>
        <v>2689.9875</v>
      </c>
      <c r="U191" s="32">
        <f t="shared" si="35"/>
        <v>17.93325</v>
      </c>
      <c r="V191" s="2">
        <f t="shared" si="36"/>
        <v>21519.9</v>
      </c>
      <c r="W191" s="2">
        <f t="shared" si="37"/>
        <v>3287.7625</v>
      </c>
      <c r="X191" s="2">
        <f t="shared" si="38"/>
        <v>34670.95</v>
      </c>
      <c r="Y191" s="2">
        <f t="shared" si="39"/>
        <v>3120.3854999999994</v>
      </c>
      <c r="Z191" s="2">
        <f t="shared" si="40"/>
        <v>832.1028</v>
      </c>
      <c r="AA191" s="2">
        <f t="shared" si="41"/>
        <v>7240.2508</v>
      </c>
      <c r="AB191" s="2">
        <f t="shared" si="42"/>
        <v>48.268338666666665</v>
      </c>
    </row>
    <row r="192" spans="1:28" ht="15">
      <c r="A192" s="30" t="str">
        <f t="shared" si="30"/>
        <v>Plant &amp; Pre Folding10R-36</v>
      </c>
      <c r="B192" s="47" t="s">
        <v>195</v>
      </c>
      <c r="C192" s="47" t="s">
        <v>375</v>
      </c>
      <c r="D192" s="49">
        <v>30</v>
      </c>
      <c r="E192" s="3">
        <v>6.5</v>
      </c>
      <c r="F192" s="3">
        <v>0.65</v>
      </c>
      <c r="G192" s="84">
        <f t="shared" si="44"/>
        <v>0.0650887573964497</v>
      </c>
      <c r="H192" s="150">
        <v>48380</v>
      </c>
      <c r="I192" s="150">
        <v>45</v>
      </c>
      <c r="J192" s="150">
        <v>45</v>
      </c>
      <c r="K192" s="150">
        <v>8</v>
      </c>
      <c r="L192" s="150">
        <v>150</v>
      </c>
      <c r="M192" s="48">
        <v>0</v>
      </c>
      <c r="N192" s="34">
        <f t="shared" si="31"/>
        <v>1200</v>
      </c>
      <c r="O192" s="28">
        <v>1</v>
      </c>
      <c r="P192" s="41">
        <v>0.27</v>
      </c>
      <c r="Q192" s="41">
        <v>1.4</v>
      </c>
      <c r="R192" s="31">
        <f t="shared" si="32"/>
        <v>917.3971589789336</v>
      </c>
      <c r="S192" s="31">
        <f t="shared" si="33"/>
        <v>6.115981059859557</v>
      </c>
      <c r="T192" s="32">
        <f t="shared" si="34"/>
        <v>2721.375</v>
      </c>
      <c r="U192" s="32">
        <f t="shared" si="35"/>
        <v>18.1425</v>
      </c>
      <c r="V192" s="2">
        <f t="shared" si="36"/>
        <v>21771</v>
      </c>
      <c r="W192" s="2">
        <f t="shared" si="37"/>
        <v>3326.125</v>
      </c>
      <c r="X192" s="2">
        <f t="shared" si="38"/>
        <v>35075.5</v>
      </c>
      <c r="Y192" s="2">
        <f t="shared" si="39"/>
        <v>3156.795</v>
      </c>
      <c r="Z192" s="2">
        <f t="shared" si="40"/>
        <v>841.812</v>
      </c>
      <c r="AA192" s="2">
        <f t="shared" si="41"/>
        <v>7324.732</v>
      </c>
      <c r="AB192" s="2">
        <f t="shared" si="42"/>
        <v>48.83154666666667</v>
      </c>
    </row>
    <row r="193" spans="1:28" ht="15">
      <c r="A193" s="30" t="str">
        <f t="shared" si="30"/>
        <v>Plant &amp; Pre Folding12R-20</v>
      </c>
      <c r="B193" s="47" t="s">
        <v>195</v>
      </c>
      <c r="C193" s="47" t="s">
        <v>130</v>
      </c>
      <c r="D193" s="49">
        <v>20</v>
      </c>
      <c r="E193" s="3">
        <v>6.5</v>
      </c>
      <c r="F193" s="3">
        <v>0.65</v>
      </c>
      <c r="G193" s="84">
        <f t="shared" si="44"/>
        <v>0.09763313609467456</v>
      </c>
      <c r="H193" s="150">
        <v>45835</v>
      </c>
      <c r="I193" s="150">
        <v>45</v>
      </c>
      <c r="J193" s="150">
        <v>45</v>
      </c>
      <c r="K193" s="150">
        <v>8</v>
      </c>
      <c r="L193" s="150">
        <v>150</v>
      </c>
      <c r="M193" s="48">
        <v>0</v>
      </c>
      <c r="N193" s="34">
        <f t="shared" si="31"/>
        <v>1200</v>
      </c>
      <c r="O193" s="28">
        <v>1</v>
      </c>
      <c r="P193" s="41">
        <v>0.27</v>
      </c>
      <c r="Q193" s="41">
        <v>1.4</v>
      </c>
      <c r="R193" s="31">
        <f t="shared" si="32"/>
        <v>869.1380484042874</v>
      </c>
      <c r="S193" s="31">
        <f t="shared" si="33"/>
        <v>5.794253656028582</v>
      </c>
      <c r="T193" s="32">
        <f t="shared" si="34"/>
        <v>2578.21875</v>
      </c>
      <c r="U193" s="32">
        <f t="shared" si="35"/>
        <v>17.188125</v>
      </c>
      <c r="V193" s="2">
        <f t="shared" si="36"/>
        <v>20625.75</v>
      </c>
      <c r="W193" s="2">
        <f t="shared" si="37"/>
        <v>3151.15625</v>
      </c>
      <c r="X193" s="2">
        <f t="shared" si="38"/>
        <v>33230.375</v>
      </c>
      <c r="Y193" s="2">
        <f t="shared" si="39"/>
        <v>2990.73375</v>
      </c>
      <c r="Z193" s="2">
        <f t="shared" si="40"/>
        <v>797.529</v>
      </c>
      <c r="AA193" s="2">
        <f t="shared" si="41"/>
        <v>6939.419</v>
      </c>
      <c r="AB193" s="2">
        <f t="shared" si="42"/>
        <v>46.262793333333335</v>
      </c>
    </row>
    <row r="194" spans="1:28" ht="15">
      <c r="A194" s="30" t="str">
        <f t="shared" si="30"/>
        <v>Plant &amp; Pre Folding12R-30</v>
      </c>
      <c r="B194" s="47" t="s">
        <v>195</v>
      </c>
      <c r="C194" s="47" t="s">
        <v>213</v>
      </c>
      <c r="D194" s="49">
        <v>30</v>
      </c>
      <c r="E194" s="3">
        <v>6.5</v>
      </c>
      <c r="F194" s="3">
        <v>0.65</v>
      </c>
      <c r="G194" s="84">
        <f t="shared" si="44"/>
        <v>0.0650887573964497</v>
      </c>
      <c r="H194" s="150">
        <v>52095</v>
      </c>
      <c r="I194" s="150">
        <v>45</v>
      </c>
      <c r="J194" s="150">
        <v>45</v>
      </c>
      <c r="K194" s="150">
        <v>8</v>
      </c>
      <c r="L194" s="150">
        <v>150</v>
      </c>
      <c r="M194" s="48">
        <v>0</v>
      </c>
      <c r="N194" s="34">
        <f t="shared" si="31"/>
        <v>1200</v>
      </c>
      <c r="O194" s="28">
        <v>1</v>
      </c>
      <c r="P194" s="41">
        <v>0.27</v>
      </c>
      <c r="Q194" s="41">
        <v>1.4</v>
      </c>
      <c r="R194" s="31">
        <f t="shared" si="32"/>
        <v>987.8421867922189</v>
      </c>
      <c r="S194" s="31">
        <f t="shared" si="33"/>
        <v>6.585614578614792</v>
      </c>
      <c r="T194" s="32">
        <f t="shared" si="34"/>
        <v>2930.34375</v>
      </c>
      <c r="U194" s="32">
        <f t="shared" si="35"/>
        <v>19.535625</v>
      </c>
      <c r="V194" s="2">
        <f t="shared" si="36"/>
        <v>23442.75</v>
      </c>
      <c r="W194" s="2">
        <f t="shared" si="37"/>
        <v>3581.53125</v>
      </c>
      <c r="X194" s="2">
        <f t="shared" si="38"/>
        <v>37768.875</v>
      </c>
      <c r="Y194" s="2">
        <f t="shared" si="39"/>
        <v>3399.19875</v>
      </c>
      <c r="Z194" s="2">
        <f t="shared" si="40"/>
        <v>906.453</v>
      </c>
      <c r="AA194" s="2">
        <f t="shared" si="41"/>
        <v>7887.183</v>
      </c>
      <c r="AB194" s="2">
        <f t="shared" si="42"/>
        <v>52.58122</v>
      </c>
    </row>
    <row r="195" spans="1:28" ht="15">
      <c r="A195" s="30" t="str">
        <f t="shared" si="30"/>
        <v>Plant &amp; Pre Folding12R-36</v>
      </c>
      <c r="B195" s="47" t="s">
        <v>195</v>
      </c>
      <c r="C195" s="47" t="s">
        <v>376</v>
      </c>
      <c r="D195" s="49">
        <v>36</v>
      </c>
      <c r="E195" s="3">
        <v>6.5</v>
      </c>
      <c r="F195" s="3">
        <v>0.65</v>
      </c>
      <c r="G195" s="84">
        <f t="shared" si="44"/>
        <v>0.054240631163708086</v>
      </c>
      <c r="H195" s="150">
        <v>49813</v>
      </c>
      <c r="I195" s="150">
        <v>45</v>
      </c>
      <c r="J195" s="150">
        <v>45</v>
      </c>
      <c r="K195" s="150">
        <v>8</v>
      </c>
      <c r="L195" s="150">
        <v>150</v>
      </c>
      <c r="M195" s="48">
        <v>0</v>
      </c>
      <c r="N195" s="34">
        <f t="shared" si="31"/>
        <v>1200</v>
      </c>
      <c r="O195" s="28">
        <v>1</v>
      </c>
      <c r="P195" s="41">
        <v>0.27</v>
      </c>
      <c r="Q195" s="41">
        <v>1.4</v>
      </c>
      <c r="R195" s="31">
        <f t="shared" si="32"/>
        <v>944.5701670156598</v>
      </c>
      <c r="S195" s="31">
        <f t="shared" si="33"/>
        <v>6.297134446771065</v>
      </c>
      <c r="T195" s="32">
        <f t="shared" si="34"/>
        <v>2801.98125</v>
      </c>
      <c r="U195" s="32">
        <f t="shared" si="35"/>
        <v>18.679875</v>
      </c>
      <c r="V195" s="2">
        <f t="shared" si="36"/>
        <v>22415.85</v>
      </c>
      <c r="W195" s="2">
        <f t="shared" si="37"/>
        <v>3424.64375</v>
      </c>
      <c r="X195" s="2">
        <f t="shared" si="38"/>
        <v>36114.425</v>
      </c>
      <c r="Y195" s="2">
        <f t="shared" si="39"/>
        <v>3250.2982500000003</v>
      </c>
      <c r="Z195" s="2">
        <f t="shared" si="40"/>
        <v>866.7462</v>
      </c>
      <c r="AA195" s="2">
        <f t="shared" si="41"/>
        <v>7541.6882000000005</v>
      </c>
      <c r="AB195" s="2">
        <f t="shared" si="42"/>
        <v>50.27792133333334</v>
      </c>
    </row>
    <row r="196" spans="1:28" ht="15">
      <c r="A196" s="30" t="str">
        <f t="shared" si="30"/>
        <v>Plant &amp; Pre Folding16R-30</v>
      </c>
      <c r="B196" s="47" t="s">
        <v>195</v>
      </c>
      <c r="C196" s="47" t="s">
        <v>222</v>
      </c>
      <c r="D196" s="49">
        <v>40</v>
      </c>
      <c r="E196" s="3">
        <v>6.5</v>
      </c>
      <c r="F196" s="3">
        <v>0.65</v>
      </c>
      <c r="G196" s="84">
        <f t="shared" si="44"/>
        <v>0.04881656804733728</v>
      </c>
      <c r="H196" s="150">
        <v>70934</v>
      </c>
      <c r="I196" s="150">
        <v>45</v>
      </c>
      <c r="J196" s="150">
        <v>45</v>
      </c>
      <c r="K196" s="150">
        <v>8</v>
      </c>
      <c r="L196" s="150">
        <v>150</v>
      </c>
      <c r="M196" s="48">
        <v>0</v>
      </c>
      <c r="N196" s="34">
        <f t="shared" si="31"/>
        <v>1200</v>
      </c>
      <c r="O196" s="28">
        <v>1</v>
      </c>
      <c r="P196" s="41">
        <v>0.27</v>
      </c>
      <c r="Q196" s="41">
        <v>1.4</v>
      </c>
      <c r="R196" s="31">
        <f t="shared" si="32"/>
        <v>1345.0733789791582</v>
      </c>
      <c r="S196" s="31">
        <f t="shared" si="33"/>
        <v>8.967155859861055</v>
      </c>
      <c r="T196" s="32">
        <f t="shared" si="34"/>
        <v>3990.0375</v>
      </c>
      <c r="U196" s="32">
        <f t="shared" si="35"/>
        <v>26.60025</v>
      </c>
      <c r="V196" s="2">
        <f t="shared" si="36"/>
        <v>31920.3</v>
      </c>
      <c r="W196" s="2">
        <f t="shared" si="37"/>
        <v>4876.7125</v>
      </c>
      <c r="X196" s="2">
        <f t="shared" si="38"/>
        <v>51427.15</v>
      </c>
      <c r="Y196" s="2">
        <f t="shared" si="39"/>
        <v>4628.4435</v>
      </c>
      <c r="Z196" s="2">
        <f t="shared" si="40"/>
        <v>1234.2516</v>
      </c>
      <c r="AA196" s="2">
        <f t="shared" si="41"/>
        <v>10739.4076</v>
      </c>
      <c r="AB196" s="2">
        <f t="shared" si="42"/>
        <v>71.59605066666667</v>
      </c>
    </row>
    <row r="197" spans="1:28" ht="15">
      <c r="A197" s="30" t="str">
        <f t="shared" si="30"/>
        <v>Plant &amp; Pre Folding23R-15</v>
      </c>
      <c r="B197" s="47" t="s">
        <v>195</v>
      </c>
      <c r="C197" s="47" t="s">
        <v>225</v>
      </c>
      <c r="D197" s="49">
        <v>28.8</v>
      </c>
      <c r="E197" s="3">
        <v>6.5</v>
      </c>
      <c r="F197" s="3">
        <v>0.65</v>
      </c>
      <c r="G197" s="84">
        <f t="shared" si="44"/>
        <v>0.0678007889546351</v>
      </c>
      <c r="H197" s="150">
        <v>79286</v>
      </c>
      <c r="I197" s="150">
        <v>45</v>
      </c>
      <c r="J197" s="150">
        <v>45</v>
      </c>
      <c r="K197" s="150">
        <v>8</v>
      </c>
      <c r="L197" s="150">
        <v>150</v>
      </c>
      <c r="M197" s="48">
        <v>0</v>
      </c>
      <c r="N197" s="34">
        <f t="shared" si="31"/>
        <v>1200</v>
      </c>
      <c r="O197" s="28">
        <v>1</v>
      </c>
      <c r="P197" s="41">
        <v>0.27</v>
      </c>
      <c r="Q197" s="41">
        <v>1.4</v>
      </c>
      <c r="R197" s="31">
        <f t="shared" si="32"/>
        <v>1503.4466958826733</v>
      </c>
      <c r="S197" s="31">
        <f t="shared" si="33"/>
        <v>10.022977972551155</v>
      </c>
      <c r="T197" s="32">
        <f t="shared" si="34"/>
        <v>4459.8375</v>
      </c>
      <c r="U197" s="32">
        <f t="shared" si="35"/>
        <v>29.732249999999997</v>
      </c>
      <c r="V197" s="2">
        <f t="shared" si="36"/>
        <v>35678.7</v>
      </c>
      <c r="W197" s="2">
        <f t="shared" si="37"/>
        <v>5450.9125</v>
      </c>
      <c r="X197" s="2">
        <f t="shared" si="38"/>
        <v>57482.35</v>
      </c>
      <c r="Y197" s="2">
        <f t="shared" si="39"/>
        <v>5173.411499999999</v>
      </c>
      <c r="Z197" s="2">
        <f t="shared" si="40"/>
        <v>1379.5764</v>
      </c>
      <c r="AA197" s="2">
        <f t="shared" si="41"/>
        <v>12003.900399999999</v>
      </c>
      <c r="AB197" s="2">
        <f t="shared" si="42"/>
        <v>80.02600266666666</v>
      </c>
    </row>
    <row r="198" spans="1:28" ht="15">
      <c r="A198" s="30" t="str">
        <f aca="true" t="shared" si="45" ref="A198:A263">+CONCATENATE(B198,C198)</f>
        <v>Plant &amp; Pre Folding24R-20</v>
      </c>
      <c r="B198" s="47" t="s">
        <v>195</v>
      </c>
      <c r="C198" s="47" t="s">
        <v>223</v>
      </c>
      <c r="D198" s="49">
        <v>40</v>
      </c>
      <c r="E198" s="3">
        <v>6.5</v>
      </c>
      <c r="F198" s="3">
        <v>0.65</v>
      </c>
      <c r="G198" s="84">
        <f t="shared" si="44"/>
        <v>0.04881656804733728</v>
      </c>
      <c r="H198" s="150">
        <v>94246</v>
      </c>
      <c r="I198" s="150">
        <v>45</v>
      </c>
      <c r="J198" s="150">
        <v>45</v>
      </c>
      <c r="K198" s="150">
        <v>8</v>
      </c>
      <c r="L198" s="150">
        <v>150</v>
      </c>
      <c r="M198" s="48">
        <v>0</v>
      </c>
      <c r="N198" s="34">
        <f aca="true" t="shared" si="46" ref="N198:N263">+K198*L198</f>
        <v>1200</v>
      </c>
      <c r="O198" s="28">
        <v>1</v>
      </c>
      <c r="P198" s="41">
        <v>0.27</v>
      </c>
      <c r="Q198" s="41">
        <v>1.4</v>
      </c>
      <c r="R198" s="31">
        <f aca="true" t="shared" si="47" ref="R198:R263">+(P198*H198)*((O198*L198/1000)^Q198)</f>
        <v>1787.1230393784328</v>
      </c>
      <c r="S198" s="31">
        <f aca="true" t="shared" si="48" ref="S198:S263">+R198/L198</f>
        <v>11.914153595856218</v>
      </c>
      <c r="T198" s="32">
        <f aca="true" t="shared" si="49" ref="T198:T263">+(H198*J198/100)/K198</f>
        <v>5301.3375</v>
      </c>
      <c r="U198" s="32">
        <f aca="true" t="shared" si="50" ref="U198:U263">+T198/L198</f>
        <v>35.34225</v>
      </c>
      <c r="V198" s="2">
        <f aca="true" t="shared" si="51" ref="V198:V263">+(H198*I198/100)</f>
        <v>42410.7</v>
      </c>
      <c r="W198" s="2">
        <f aca="true" t="shared" si="52" ref="W198:W263">+(H198-V198)/K198</f>
        <v>6479.4125</v>
      </c>
      <c r="X198" s="2">
        <f aca="true" t="shared" si="53" ref="X198:X263">+(V198+H198)/2</f>
        <v>68328.35</v>
      </c>
      <c r="Y198" s="2">
        <f aca="true" t="shared" si="54" ref="Y198:Y263">+X198*iir</f>
        <v>6149.5515000000005</v>
      </c>
      <c r="Z198" s="2">
        <f aca="true" t="shared" si="55" ref="Z198:Z263">+X198*ins_tax</f>
        <v>1639.8804000000002</v>
      </c>
      <c r="AA198" s="2">
        <f aca="true" t="shared" si="56" ref="AA198:AA263">+Z198+Y198+W198</f>
        <v>14268.844400000002</v>
      </c>
      <c r="AB198" s="2">
        <f aca="true" t="shared" si="57" ref="AB198:AB263">+AA198/L198</f>
        <v>95.12562933333335</v>
      </c>
    </row>
    <row r="199" spans="1:28" ht="15">
      <c r="A199" s="30" t="str">
        <f t="shared" si="45"/>
        <v>Plant &amp; Pre Folding24R-30</v>
      </c>
      <c r="B199" s="47" t="s">
        <v>195</v>
      </c>
      <c r="C199" s="47" t="s">
        <v>224</v>
      </c>
      <c r="D199" s="49">
        <v>60</v>
      </c>
      <c r="E199" s="3">
        <v>6.5</v>
      </c>
      <c r="F199" s="3">
        <v>0.65</v>
      </c>
      <c r="G199" s="84">
        <f t="shared" si="44"/>
        <v>0.03254437869822485</v>
      </c>
      <c r="H199" s="150">
        <v>105782</v>
      </c>
      <c r="I199" s="150">
        <v>45</v>
      </c>
      <c r="J199" s="150">
        <v>45</v>
      </c>
      <c r="K199" s="150">
        <v>8</v>
      </c>
      <c r="L199" s="150">
        <v>150</v>
      </c>
      <c r="M199" s="48">
        <v>0</v>
      </c>
      <c r="N199" s="34">
        <f t="shared" si="46"/>
        <v>1200</v>
      </c>
      <c r="O199" s="28">
        <v>1</v>
      </c>
      <c r="P199" s="41">
        <v>0.27</v>
      </c>
      <c r="Q199" s="41">
        <v>1.4</v>
      </c>
      <c r="R199" s="31">
        <f t="shared" si="47"/>
        <v>2005.8723908869276</v>
      </c>
      <c r="S199" s="31">
        <f t="shared" si="48"/>
        <v>13.37248260591285</v>
      </c>
      <c r="T199" s="32">
        <f t="shared" si="49"/>
        <v>5950.2375</v>
      </c>
      <c r="U199" s="32">
        <f t="shared" si="50"/>
        <v>39.66825</v>
      </c>
      <c r="V199" s="2">
        <f t="shared" si="51"/>
        <v>47601.9</v>
      </c>
      <c r="W199" s="2">
        <f t="shared" si="52"/>
        <v>7272.5125</v>
      </c>
      <c r="X199" s="2">
        <f t="shared" si="53"/>
        <v>76691.95</v>
      </c>
      <c r="Y199" s="2">
        <f t="shared" si="54"/>
        <v>6902.2755</v>
      </c>
      <c r="Z199" s="2">
        <f t="shared" si="55"/>
        <v>1840.6068</v>
      </c>
      <c r="AA199" s="2">
        <f t="shared" si="56"/>
        <v>16015.394799999998</v>
      </c>
      <c r="AB199" s="2">
        <f t="shared" si="57"/>
        <v>106.76929866666666</v>
      </c>
    </row>
    <row r="200" spans="1:28" ht="15">
      <c r="A200" s="30" t="str">
        <f t="shared" si="45"/>
        <v>Plant &amp; Pre Folding8R-36</v>
      </c>
      <c r="B200" s="47" t="s">
        <v>195</v>
      </c>
      <c r="C200" s="47" t="s">
        <v>377</v>
      </c>
      <c r="D200" s="49">
        <v>24</v>
      </c>
      <c r="E200" s="3">
        <v>6.5</v>
      </c>
      <c r="F200" s="3">
        <v>0.65</v>
      </c>
      <c r="G200" s="84">
        <f t="shared" si="44"/>
        <v>0.08136094674556213</v>
      </c>
      <c r="H200" s="150">
        <v>36057</v>
      </c>
      <c r="I200" s="150">
        <v>45</v>
      </c>
      <c r="J200" s="150">
        <v>45</v>
      </c>
      <c r="K200" s="150">
        <v>8</v>
      </c>
      <c r="L200" s="150">
        <v>150</v>
      </c>
      <c r="M200" s="48">
        <v>0</v>
      </c>
      <c r="N200" s="34">
        <f t="shared" si="46"/>
        <v>1200</v>
      </c>
      <c r="O200" s="28">
        <v>1</v>
      </c>
      <c r="P200" s="41">
        <v>0.27</v>
      </c>
      <c r="Q200" s="41">
        <v>1.4</v>
      </c>
      <c r="R200" s="31">
        <f t="shared" si="47"/>
        <v>683.7244597210296</v>
      </c>
      <c r="S200" s="31">
        <f t="shared" si="48"/>
        <v>4.558163064806863</v>
      </c>
      <c r="T200" s="32">
        <f t="shared" si="49"/>
        <v>2028.20625</v>
      </c>
      <c r="U200" s="32">
        <f t="shared" si="50"/>
        <v>13.521374999999999</v>
      </c>
      <c r="V200" s="2">
        <f t="shared" si="51"/>
        <v>16225.65</v>
      </c>
      <c r="W200" s="2">
        <f t="shared" si="52"/>
        <v>2478.91875</v>
      </c>
      <c r="X200" s="2">
        <f t="shared" si="53"/>
        <v>26141.325</v>
      </c>
      <c r="Y200" s="2">
        <f t="shared" si="54"/>
        <v>2352.71925</v>
      </c>
      <c r="Z200" s="2">
        <f t="shared" si="55"/>
        <v>627.3918</v>
      </c>
      <c r="AA200" s="2">
        <f t="shared" si="56"/>
        <v>5459.0298</v>
      </c>
      <c r="AB200" s="2">
        <f t="shared" si="57"/>
        <v>36.393532</v>
      </c>
    </row>
    <row r="201" spans="1:28" ht="15">
      <c r="A201" s="30" t="str">
        <f t="shared" si="45"/>
        <v>Plant &amp; Pre Folding8R40 2x1</v>
      </c>
      <c r="B201" s="47" t="s">
        <v>195</v>
      </c>
      <c r="C201" s="47" t="s">
        <v>105</v>
      </c>
      <c r="D201" s="49">
        <v>40</v>
      </c>
      <c r="E201" s="3">
        <v>6.5</v>
      </c>
      <c r="F201" s="3">
        <v>0.65</v>
      </c>
      <c r="G201" s="84">
        <f t="shared" si="44"/>
        <v>0.04881656804733728</v>
      </c>
      <c r="H201" s="150">
        <v>49813</v>
      </c>
      <c r="I201" s="150">
        <v>45</v>
      </c>
      <c r="J201" s="150">
        <v>45</v>
      </c>
      <c r="K201" s="150">
        <v>8</v>
      </c>
      <c r="L201" s="150">
        <v>150</v>
      </c>
      <c r="M201" s="48">
        <v>0</v>
      </c>
      <c r="N201" s="34">
        <f t="shared" si="46"/>
        <v>1200</v>
      </c>
      <c r="O201" s="28">
        <v>1</v>
      </c>
      <c r="P201" s="41">
        <v>0.27</v>
      </c>
      <c r="Q201" s="41">
        <v>1.4</v>
      </c>
      <c r="R201" s="31">
        <f t="shared" si="47"/>
        <v>944.5701670156598</v>
      </c>
      <c r="S201" s="31">
        <f t="shared" si="48"/>
        <v>6.297134446771065</v>
      </c>
      <c r="T201" s="32">
        <f t="shared" si="49"/>
        <v>2801.98125</v>
      </c>
      <c r="U201" s="32">
        <f t="shared" si="50"/>
        <v>18.679875</v>
      </c>
      <c r="V201" s="2">
        <f t="shared" si="51"/>
        <v>22415.85</v>
      </c>
      <c r="W201" s="2">
        <f t="shared" si="52"/>
        <v>3424.64375</v>
      </c>
      <c r="X201" s="2">
        <f t="shared" si="53"/>
        <v>36114.425</v>
      </c>
      <c r="Y201" s="2">
        <f t="shared" si="54"/>
        <v>3250.2982500000003</v>
      </c>
      <c r="Z201" s="2">
        <f t="shared" si="55"/>
        <v>866.7462</v>
      </c>
      <c r="AA201" s="2">
        <f t="shared" si="56"/>
        <v>7541.6882000000005</v>
      </c>
      <c r="AB201" s="2">
        <f t="shared" si="57"/>
        <v>50.27792133333334</v>
      </c>
    </row>
    <row r="202" spans="1:28" ht="15">
      <c r="A202" s="30" t="str">
        <f t="shared" si="45"/>
        <v>Plant &amp; Pre Rigid10R-30</v>
      </c>
      <c r="B202" s="47" t="s">
        <v>194</v>
      </c>
      <c r="C202" s="47" t="s">
        <v>103</v>
      </c>
      <c r="D202" s="49">
        <v>25</v>
      </c>
      <c r="E202" s="3">
        <v>6.5</v>
      </c>
      <c r="F202" s="3">
        <v>0.65</v>
      </c>
      <c r="G202" s="84">
        <f t="shared" si="44"/>
        <v>0.07810650887573965</v>
      </c>
      <c r="H202" s="150">
        <v>29259</v>
      </c>
      <c r="I202" s="150">
        <v>45</v>
      </c>
      <c r="J202" s="150">
        <v>45</v>
      </c>
      <c r="K202" s="150">
        <v>8</v>
      </c>
      <c r="L202" s="150">
        <v>150</v>
      </c>
      <c r="M202" s="48">
        <v>0</v>
      </c>
      <c r="N202" s="34">
        <f t="shared" si="46"/>
        <v>1200</v>
      </c>
      <c r="O202" s="28">
        <v>1</v>
      </c>
      <c r="P202" s="41">
        <v>0.27</v>
      </c>
      <c r="Q202" s="41">
        <v>1.4</v>
      </c>
      <c r="R202" s="31">
        <f t="shared" si="47"/>
        <v>554.8185918678095</v>
      </c>
      <c r="S202" s="31">
        <f t="shared" si="48"/>
        <v>3.698790612452063</v>
      </c>
      <c r="T202" s="32">
        <f t="shared" si="49"/>
        <v>1645.81875</v>
      </c>
      <c r="U202" s="32">
        <f t="shared" si="50"/>
        <v>10.972125</v>
      </c>
      <c r="V202" s="2">
        <f t="shared" si="51"/>
        <v>13166.55</v>
      </c>
      <c r="W202" s="2">
        <f t="shared" si="52"/>
        <v>2011.55625</v>
      </c>
      <c r="X202" s="2">
        <f t="shared" si="53"/>
        <v>21212.775</v>
      </c>
      <c r="Y202" s="2">
        <f t="shared" si="54"/>
        <v>1909.14975</v>
      </c>
      <c r="Z202" s="2">
        <f t="shared" si="55"/>
        <v>509.10660000000007</v>
      </c>
      <c r="AA202" s="2">
        <f t="shared" si="56"/>
        <v>4429.8126</v>
      </c>
      <c r="AB202" s="2">
        <f t="shared" si="57"/>
        <v>29.532084</v>
      </c>
    </row>
    <row r="203" spans="1:28" ht="15">
      <c r="A203" s="30" t="str">
        <f t="shared" si="45"/>
        <v>Plant &amp; Pre Rigid12R-20</v>
      </c>
      <c r="B203" s="47" t="s">
        <v>194</v>
      </c>
      <c r="C203" s="47" t="s">
        <v>130</v>
      </c>
      <c r="D203" s="49">
        <v>20</v>
      </c>
      <c r="E203" s="3">
        <v>6.5</v>
      </c>
      <c r="F203" s="3">
        <v>0.65</v>
      </c>
      <c r="G203" s="84">
        <f aca="true" t="shared" si="58" ref="G203:G236">1/((D203*E203*5280*F203)/43560)</f>
        <v>0.09763313609467456</v>
      </c>
      <c r="H203" s="150">
        <v>33623</v>
      </c>
      <c r="I203" s="150">
        <v>45</v>
      </c>
      <c r="J203" s="150">
        <v>45</v>
      </c>
      <c r="K203" s="150">
        <v>8</v>
      </c>
      <c r="L203" s="150">
        <v>150</v>
      </c>
      <c r="M203" s="48">
        <v>0</v>
      </c>
      <c r="N203" s="34">
        <f t="shared" si="46"/>
        <v>1200</v>
      </c>
      <c r="O203" s="28">
        <v>1</v>
      </c>
      <c r="P203" s="41">
        <v>0.27</v>
      </c>
      <c r="Q203" s="41">
        <v>1.4</v>
      </c>
      <c r="R203" s="31">
        <f t="shared" si="47"/>
        <v>637.57016693569</v>
      </c>
      <c r="S203" s="31">
        <f t="shared" si="48"/>
        <v>4.250467779571267</v>
      </c>
      <c r="T203" s="32">
        <f t="shared" si="49"/>
        <v>1891.29375</v>
      </c>
      <c r="U203" s="32">
        <f t="shared" si="50"/>
        <v>12.608625</v>
      </c>
      <c r="V203" s="2">
        <f t="shared" si="51"/>
        <v>15130.35</v>
      </c>
      <c r="W203" s="2">
        <f t="shared" si="52"/>
        <v>2311.58125</v>
      </c>
      <c r="X203" s="2">
        <f t="shared" si="53"/>
        <v>24376.675</v>
      </c>
      <c r="Y203" s="2">
        <f t="shared" si="54"/>
        <v>2193.90075</v>
      </c>
      <c r="Z203" s="2">
        <f t="shared" si="55"/>
        <v>585.0402</v>
      </c>
      <c r="AA203" s="2">
        <f t="shared" si="56"/>
        <v>5090.522199999999</v>
      </c>
      <c r="AB203" s="2">
        <f t="shared" si="57"/>
        <v>33.93681466666666</v>
      </c>
    </row>
    <row r="204" spans="1:28" ht="15">
      <c r="A204" s="30" t="str">
        <f t="shared" si="45"/>
        <v>Plant &amp; Pre Rigid12R-30</v>
      </c>
      <c r="B204" s="47" t="s">
        <v>194</v>
      </c>
      <c r="C204" s="47" t="s">
        <v>213</v>
      </c>
      <c r="D204" s="49">
        <v>30</v>
      </c>
      <c r="E204" s="3">
        <v>6.5</v>
      </c>
      <c r="F204" s="3">
        <v>0.65</v>
      </c>
      <c r="G204" s="84">
        <f t="shared" si="58"/>
        <v>0.0650887573964497</v>
      </c>
      <c r="H204" s="150">
        <v>48556</v>
      </c>
      <c r="I204" s="150">
        <v>45</v>
      </c>
      <c r="J204" s="150">
        <v>45</v>
      </c>
      <c r="K204" s="150">
        <v>8</v>
      </c>
      <c r="L204" s="150">
        <v>150</v>
      </c>
      <c r="M204" s="48">
        <v>0</v>
      </c>
      <c r="N204" s="34">
        <f t="shared" si="46"/>
        <v>1200</v>
      </c>
      <c r="O204" s="28">
        <v>1</v>
      </c>
      <c r="P204" s="41">
        <v>0.27</v>
      </c>
      <c r="Q204" s="41">
        <v>1.4</v>
      </c>
      <c r="R204" s="31">
        <f t="shared" si="47"/>
        <v>920.7345277259426</v>
      </c>
      <c r="S204" s="31">
        <f t="shared" si="48"/>
        <v>6.1382301848396175</v>
      </c>
      <c r="T204" s="32">
        <f t="shared" si="49"/>
        <v>2731.275</v>
      </c>
      <c r="U204" s="32">
        <f t="shared" si="50"/>
        <v>18.2085</v>
      </c>
      <c r="V204" s="2">
        <f t="shared" si="51"/>
        <v>21850.2</v>
      </c>
      <c r="W204" s="2">
        <f t="shared" si="52"/>
        <v>3338.225</v>
      </c>
      <c r="X204" s="2">
        <f t="shared" si="53"/>
        <v>35203.1</v>
      </c>
      <c r="Y204" s="2">
        <f t="shared" si="54"/>
        <v>3168.2789999999995</v>
      </c>
      <c r="Z204" s="2">
        <f t="shared" si="55"/>
        <v>844.8744</v>
      </c>
      <c r="AA204" s="2">
        <f t="shared" si="56"/>
        <v>7351.3784</v>
      </c>
      <c r="AB204" s="2">
        <f t="shared" si="57"/>
        <v>49.00918933333333</v>
      </c>
    </row>
    <row r="205" spans="1:28" ht="15">
      <c r="A205" s="30" t="str">
        <f t="shared" si="45"/>
        <v>Plant &amp; Pre Rigid4R-30</v>
      </c>
      <c r="B205" s="47" t="s">
        <v>194</v>
      </c>
      <c r="C205" s="47" t="s">
        <v>112</v>
      </c>
      <c r="D205" s="49">
        <v>10</v>
      </c>
      <c r="E205" s="3">
        <v>6.5</v>
      </c>
      <c r="F205" s="3">
        <v>0.65</v>
      </c>
      <c r="G205" s="84">
        <f t="shared" si="58"/>
        <v>0.1952662721893491</v>
      </c>
      <c r="H205" s="150">
        <v>19415</v>
      </c>
      <c r="I205" s="150">
        <v>45</v>
      </c>
      <c r="J205" s="150">
        <v>45</v>
      </c>
      <c r="K205" s="150">
        <v>8</v>
      </c>
      <c r="L205" s="150">
        <v>150</v>
      </c>
      <c r="M205" s="48">
        <v>0</v>
      </c>
      <c r="N205" s="34">
        <f t="shared" si="46"/>
        <v>1200</v>
      </c>
      <c r="O205" s="28">
        <v>1</v>
      </c>
      <c r="P205" s="41">
        <v>0.27</v>
      </c>
      <c r="Q205" s="41">
        <v>1.4</v>
      </c>
      <c r="R205" s="31">
        <f t="shared" si="47"/>
        <v>368.1534899044232</v>
      </c>
      <c r="S205" s="31">
        <f t="shared" si="48"/>
        <v>2.4543565993628214</v>
      </c>
      <c r="T205" s="32">
        <f t="shared" si="49"/>
        <v>1092.09375</v>
      </c>
      <c r="U205" s="32">
        <f t="shared" si="50"/>
        <v>7.280625</v>
      </c>
      <c r="V205" s="2">
        <f t="shared" si="51"/>
        <v>8736.75</v>
      </c>
      <c r="W205" s="2">
        <f t="shared" si="52"/>
        <v>1334.78125</v>
      </c>
      <c r="X205" s="2">
        <f t="shared" si="53"/>
        <v>14075.875</v>
      </c>
      <c r="Y205" s="2">
        <f t="shared" si="54"/>
        <v>1266.82875</v>
      </c>
      <c r="Z205" s="2">
        <f t="shared" si="55"/>
        <v>337.821</v>
      </c>
      <c r="AA205" s="2">
        <f t="shared" si="56"/>
        <v>2939.431</v>
      </c>
      <c r="AB205" s="2">
        <f t="shared" si="57"/>
        <v>19.596206666666667</v>
      </c>
    </row>
    <row r="206" spans="1:28" ht="15">
      <c r="A206" s="30" t="str">
        <f t="shared" si="45"/>
        <v>Plant &amp; Pre Rigid4R-36</v>
      </c>
      <c r="B206" s="47" t="s">
        <v>194</v>
      </c>
      <c r="C206" s="47" t="s">
        <v>373</v>
      </c>
      <c r="D206" s="49">
        <v>12</v>
      </c>
      <c r="E206" s="3">
        <v>6.5</v>
      </c>
      <c r="F206" s="3">
        <v>0.65</v>
      </c>
      <c r="G206" s="84">
        <f t="shared" si="58"/>
        <v>0.16272189349112426</v>
      </c>
      <c r="H206" s="150">
        <v>18990</v>
      </c>
      <c r="I206" s="150">
        <v>45</v>
      </c>
      <c r="J206" s="150">
        <v>45</v>
      </c>
      <c r="K206" s="150">
        <v>8</v>
      </c>
      <c r="L206" s="150">
        <v>150</v>
      </c>
      <c r="M206" s="48">
        <v>0</v>
      </c>
      <c r="N206" s="34">
        <f t="shared" si="46"/>
        <v>1200</v>
      </c>
      <c r="O206" s="28">
        <v>1</v>
      </c>
      <c r="P206" s="41">
        <v>0.27</v>
      </c>
      <c r="Q206" s="41">
        <v>1.4</v>
      </c>
      <c r="R206" s="31">
        <f t="shared" si="47"/>
        <v>360.0945028732937</v>
      </c>
      <c r="S206" s="31">
        <f t="shared" si="48"/>
        <v>2.4006300191552916</v>
      </c>
      <c r="T206" s="32">
        <f t="shared" si="49"/>
        <v>1068.1875</v>
      </c>
      <c r="U206" s="32">
        <f t="shared" si="50"/>
        <v>7.12125</v>
      </c>
      <c r="V206" s="2">
        <f t="shared" si="51"/>
        <v>8545.5</v>
      </c>
      <c r="W206" s="2">
        <f t="shared" si="52"/>
        <v>1305.5625</v>
      </c>
      <c r="X206" s="2">
        <f t="shared" si="53"/>
        <v>13767.75</v>
      </c>
      <c r="Y206" s="2">
        <f t="shared" si="54"/>
        <v>1239.0974999999999</v>
      </c>
      <c r="Z206" s="2">
        <f t="shared" si="55"/>
        <v>330.426</v>
      </c>
      <c r="AA206" s="2">
        <f t="shared" si="56"/>
        <v>2875.086</v>
      </c>
      <c r="AB206" s="2">
        <f t="shared" si="57"/>
        <v>19.16724</v>
      </c>
    </row>
    <row r="207" spans="1:28" ht="15">
      <c r="A207" s="30" t="str">
        <f t="shared" si="45"/>
        <v>Plant &amp; Pre Rigid6R-30</v>
      </c>
      <c r="B207" s="47" t="s">
        <v>194</v>
      </c>
      <c r="C207" s="47" t="s">
        <v>99</v>
      </c>
      <c r="D207" s="49">
        <v>15</v>
      </c>
      <c r="E207" s="3">
        <v>6.5</v>
      </c>
      <c r="F207" s="3">
        <v>0.65</v>
      </c>
      <c r="G207" s="84">
        <f t="shared" si="58"/>
        <v>0.1301775147928994</v>
      </c>
      <c r="H207" s="150">
        <v>24422</v>
      </c>
      <c r="I207" s="150">
        <v>45</v>
      </c>
      <c r="J207" s="150">
        <v>45</v>
      </c>
      <c r="K207" s="150">
        <v>8</v>
      </c>
      <c r="L207" s="150">
        <v>150</v>
      </c>
      <c r="M207" s="48">
        <v>0</v>
      </c>
      <c r="N207" s="34">
        <f t="shared" si="46"/>
        <v>1200</v>
      </c>
      <c r="O207" s="28">
        <v>1</v>
      </c>
      <c r="P207" s="41">
        <v>0.27</v>
      </c>
      <c r="Q207" s="41">
        <v>1.4</v>
      </c>
      <c r="R207" s="31">
        <f t="shared" si="47"/>
        <v>463.09783829234226</v>
      </c>
      <c r="S207" s="31">
        <f t="shared" si="48"/>
        <v>3.0873189219489485</v>
      </c>
      <c r="T207" s="32">
        <f t="shared" si="49"/>
        <v>1373.7375</v>
      </c>
      <c r="U207" s="32">
        <f t="shared" si="50"/>
        <v>9.158249999999999</v>
      </c>
      <c r="V207" s="2">
        <f t="shared" si="51"/>
        <v>10989.9</v>
      </c>
      <c r="W207" s="2">
        <f t="shared" si="52"/>
        <v>1679.0125</v>
      </c>
      <c r="X207" s="2">
        <f t="shared" si="53"/>
        <v>17705.95</v>
      </c>
      <c r="Y207" s="2">
        <f t="shared" si="54"/>
        <v>1593.5355</v>
      </c>
      <c r="Z207" s="2">
        <f t="shared" si="55"/>
        <v>424.94280000000003</v>
      </c>
      <c r="AA207" s="2">
        <f t="shared" si="56"/>
        <v>3697.4908</v>
      </c>
      <c r="AB207" s="2">
        <f t="shared" si="57"/>
        <v>24.649938666666667</v>
      </c>
    </row>
    <row r="208" spans="1:28" ht="15">
      <c r="A208" s="30" t="str">
        <f t="shared" si="45"/>
        <v>Plant &amp; Pre Rigid6R-36</v>
      </c>
      <c r="B208" s="47" t="s">
        <v>194</v>
      </c>
      <c r="C208" s="47" t="s">
        <v>374</v>
      </c>
      <c r="D208" s="49">
        <v>18</v>
      </c>
      <c r="E208" s="3">
        <v>6.5</v>
      </c>
      <c r="F208" s="3">
        <v>0.65</v>
      </c>
      <c r="G208" s="84">
        <f t="shared" si="58"/>
        <v>0.10848126232741617</v>
      </c>
      <c r="H208" s="150">
        <v>23617</v>
      </c>
      <c r="I208" s="150">
        <v>45</v>
      </c>
      <c r="J208" s="150">
        <v>45</v>
      </c>
      <c r="K208" s="150">
        <v>8</v>
      </c>
      <c r="L208" s="150">
        <v>150</v>
      </c>
      <c r="M208" s="48">
        <v>0</v>
      </c>
      <c r="N208" s="34">
        <f t="shared" si="46"/>
        <v>1200</v>
      </c>
      <c r="O208" s="28">
        <v>1</v>
      </c>
      <c r="P208" s="41">
        <v>0.27</v>
      </c>
      <c r="Q208" s="41">
        <v>1.4</v>
      </c>
      <c r="R208" s="31">
        <f t="shared" si="47"/>
        <v>447.83316873926157</v>
      </c>
      <c r="S208" s="31">
        <f t="shared" si="48"/>
        <v>2.9855544582617437</v>
      </c>
      <c r="T208" s="32">
        <f t="shared" si="49"/>
        <v>1328.45625</v>
      </c>
      <c r="U208" s="32">
        <f t="shared" si="50"/>
        <v>8.856375</v>
      </c>
      <c r="V208" s="2">
        <f t="shared" si="51"/>
        <v>10627.65</v>
      </c>
      <c r="W208" s="2">
        <f t="shared" si="52"/>
        <v>1623.66875</v>
      </c>
      <c r="X208" s="2">
        <f t="shared" si="53"/>
        <v>17122.325</v>
      </c>
      <c r="Y208" s="2">
        <f t="shared" si="54"/>
        <v>1541.00925</v>
      </c>
      <c r="Z208" s="2">
        <f t="shared" si="55"/>
        <v>410.93580000000003</v>
      </c>
      <c r="AA208" s="2">
        <f t="shared" si="56"/>
        <v>3575.6138</v>
      </c>
      <c r="AB208" s="2">
        <f t="shared" si="57"/>
        <v>23.837425333333332</v>
      </c>
    </row>
    <row r="209" spans="1:28" ht="15">
      <c r="A209" s="30" t="str">
        <f t="shared" si="45"/>
        <v>Plant &amp; Pre Rigid8R-22</v>
      </c>
      <c r="B209" s="47" t="s">
        <v>194</v>
      </c>
      <c r="C209" s="47" t="s">
        <v>192</v>
      </c>
      <c r="D209" s="49">
        <v>14.7</v>
      </c>
      <c r="E209" s="3">
        <v>6.5</v>
      </c>
      <c r="F209" s="3">
        <v>0.65</v>
      </c>
      <c r="G209" s="84">
        <f t="shared" si="58"/>
        <v>0.1328341987682647</v>
      </c>
      <c r="H209" s="150">
        <v>23550</v>
      </c>
      <c r="I209" s="150">
        <v>45</v>
      </c>
      <c r="J209" s="150">
        <v>45</v>
      </c>
      <c r="K209" s="150">
        <v>8</v>
      </c>
      <c r="L209" s="150">
        <v>150</v>
      </c>
      <c r="M209" s="48">
        <v>0</v>
      </c>
      <c r="N209" s="34">
        <f t="shared" si="46"/>
        <v>1200</v>
      </c>
      <c r="O209" s="28">
        <v>1</v>
      </c>
      <c r="P209" s="41">
        <v>0.27</v>
      </c>
      <c r="Q209" s="41">
        <v>1.4</v>
      </c>
      <c r="R209" s="31">
        <f t="shared" si="47"/>
        <v>446.562693136707</v>
      </c>
      <c r="S209" s="31">
        <f t="shared" si="48"/>
        <v>2.97708462091138</v>
      </c>
      <c r="T209" s="32">
        <f t="shared" si="49"/>
        <v>1324.6875</v>
      </c>
      <c r="U209" s="32">
        <f t="shared" si="50"/>
        <v>8.83125</v>
      </c>
      <c r="V209" s="2">
        <f t="shared" si="51"/>
        <v>10597.5</v>
      </c>
      <c r="W209" s="2">
        <f t="shared" si="52"/>
        <v>1619.0625</v>
      </c>
      <c r="X209" s="2">
        <f t="shared" si="53"/>
        <v>17073.75</v>
      </c>
      <c r="Y209" s="2">
        <f t="shared" si="54"/>
        <v>1536.6375</v>
      </c>
      <c r="Z209" s="2">
        <f t="shared" si="55"/>
        <v>409.77</v>
      </c>
      <c r="AA209" s="2">
        <f t="shared" si="56"/>
        <v>3565.4700000000003</v>
      </c>
      <c r="AB209" s="2">
        <f t="shared" si="57"/>
        <v>23.7698</v>
      </c>
    </row>
    <row r="210" spans="1:28" ht="15">
      <c r="A210" s="30" t="str">
        <f t="shared" si="45"/>
        <v>Plant &amp; Pre Rigid8R-30</v>
      </c>
      <c r="B210" s="47" t="s">
        <v>194</v>
      </c>
      <c r="C210" s="47" t="s">
        <v>101</v>
      </c>
      <c r="D210" s="49">
        <v>20</v>
      </c>
      <c r="E210" s="3">
        <v>6.5</v>
      </c>
      <c r="F210" s="3">
        <v>0.65</v>
      </c>
      <c r="G210" s="84">
        <f t="shared" si="58"/>
        <v>0.09763313609467456</v>
      </c>
      <c r="H210" s="150">
        <v>27748</v>
      </c>
      <c r="I210" s="150">
        <v>45</v>
      </c>
      <c r="J210" s="150">
        <v>45</v>
      </c>
      <c r="K210" s="150">
        <v>8</v>
      </c>
      <c r="L210" s="150">
        <v>150</v>
      </c>
      <c r="M210" s="48">
        <v>0</v>
      </c>
      <c r="N210" s="34">
        <f t="shared" si="46"/>
        <v>1200</v>
      </c>
      <c r="O210" s="28">
        <v>1</v>
      </c>
      <c r="P210" s="41">
        <v>0.27</v>
      </c>
      <c r="Q210" s="41">
        <v>1.4</v>
      </c>
      <c r="R210" s="31">
        <f t="shared" si="47"/>
        <v>526.1665226818407</v>
      </c>
      <c r="S210" s="31">
        <f t="shared" si="48"/>
        <v>3.5077768178789377</v>
      </c>
      <c r="T210" s="32">
        <f t="shared" si="49"/>
        <v>1560.825</v>
      </c>
      <c r="U210" s="32">
        <f t="shared" si="50"/>
        <v>10.4055</v>
      </c>
      <c r="V210" s="2">
        <f t="shared" si="51"/>
        <v>12486.6</v>
      </c>
      <c r="W210" s="2">
        <f t="shared" si="52"/>
        <v>1907.675</v>
      </c>
      <c r="X210" s="2">
        <f t="shared" si="53"/>
        <v>20117.3</v>
      </c>
      <c r="Y210" s="2">
        <f t="shared" si="54"/>
        <v>1810.5569999999998</v>
      </c>
      <c r="Z210" s="2">
        <f t="shared" si="55"/>
        <v>482.8152</v>
      </c>
      <c r="AA210" s="2">
        <f t="shared" si="56"/>
        <v>4201.0472</v>
      </c>
      <c r="AB210" s="2">
        <f t="shared" si="57"/>
        <v>28.006981333333332</v>
      </c>
    </row>
    <row r="211" spans="1:28" ht="15">
      <c r="A211" s="30" t="str">
        <f t="shared" si="45"/>
        <v>Plant &amp; Pre Rigid8R-36</v>
      </c>
      <c r="B211" s="47" t="s">
        <v>194</v>
      </c>
      <c r="C211" s="47" t="s">
        <v>377</v>
      </c>
      <c r="D211" s="49">
        <v>24</v>
      </c>
      <c r="E211" s="3">
        <v>6.5</v>
      </c>
      <c r="F211" s="3">
        <v>0.65</v>
      </c>
      <c r="G211" s="84">
        <f t="shared" si="58"/>
        <v>0.08136094674556213</v>
      </c>
      <c r="H211" s="150">
        <v>27329</v>
      </c>
      <c r="I211" s="150">
        <v>45</v>
      </c>
      <c r="J211" s="150">
        <v>45</v>
      </c>
      <c r="K211" s="150">
        <v>8</v>
      </c>
      <c r="L211" s="150">
        <v>150</v>
      </c>
      <c r="M211" s="48">
        <v>0</v>
      </c>
      <c r="N211" s="34">
        <f t="shared" si="46"/>
        <v>1200</v>
      </c>
      <c r="O211" s="28">
        <v>1</v>
      </c>
      <c r="P211" s="41">
        <v>0.27</v>
      </c>
      <c r="Q211" s="41">
        <v>1.4</v>
      </c>
      <c r="R211" s="31">
        <f t="shared" si="47"/>
        <v>518.2213095852683</v>
      </c>
      <c r="S211" s="31">
        <f t="shared" si="48"/>
        <v>3.454808730568455</v>
      </c>
      <c r="T211" s="32">
        <f t="shared" si="49"/>
        <v>1537.25625</v>
      </c>
      <c r="U211" s="32">
        <f t="shared" si="50"/>
        <v>10.248375</v>
      </c>
      <c r="V211" s="2">
        <f t="shared" si="51"/>
        <v>12298.05</v>
      </c>
      <c r="W211" s="2">
        <f t="shared" si="52"/>
        <v>1878.86875</v>
      </c>
      <c r="X211" s="2">
        <f t="shared" si="53"/>
        <v>19813.525</v>
      </c>
      <c r="Y211" s="2">
        <f t="shared" si="54"/>
        <v>1783.2172500000001</v>
      </c>
      <c r="Z211" s="2">
        <f t="shared" si="55"/>
        <v>475.5246</v>
      </c>
      <c r="AA211" s="2">
        <f t="shared" si="56"/>
        <v>4137.6106</v>
      </c>
      <c r="AB211" s="2">
        <f t="shared" si="57"/>
        <v>27.584070666666666</v>
      </c>
    </row>
    <row r="212" spans="1:28" ht="15">
      <c r="A212" s="145" t="str">
        <f t="shared" si="45"/>
        <v>Plow 4 Bottom Switch6'</v>
      </c>
      <c r="B212" s="140" t="s">
        <v>417</v>
      </c>
      <c r="C212" s="140" t="s">
        <v>298</v>
      </c>
      <c r="D212" s="146">
        <v>6</v>
      </c>
      <c r="E212" s="143">
        <v>4</v>
      </c>
      <c r="F212" s="143">
        <v>0.8</v>
      </c>
      <c r="G212" s="147">
        <f t="shared" si="58"/>
        <v>0.4296875</v>
      </c>
      <c r="H212" s="140">
        <v>10000</v>
      </c>
      <c r="I212" s="47">
        <v>30</v>
      </c>
      <c r="J212" s="47">
        <v>40</v>
      </c>
      <c r="K212" s="47">
        <v>8</v>
      </c>
      <c r="L212" s="47">
        <v>150</v>
      </c>
      <c r="M212" s="48">
        <v>0</v>
      </c>
      <c r="N212" s="34">
        <f t="shared" si="46"/>
        <v>1200</v>
      </c>
      <c r="O212" s="28">
        <v>1</v>
      </c>
      <c r="P212" s="41">
        <v>0.27</v>
      </c>
      <c r="Q212" s="41">
        <v>1.4</v>
      </c>
      <c r="R212" s="31">
        <f t="shared" si="47"/>
        <v>189.62322426187134</v>
      </c>
      <c r="S212" s="31">
        <f t="shared" si="48"/>
        <v>1.2641548284124757</v>
      </c>
      <c r="T212" s="32">
        <f t="shared" si="49"/>
        <v>500</v>
      </c>
      <c r="U212" s="32">
        <f t="shared" si="50"/>
        <v>3.3333333333333335</v>
      </c>
      <c r="V212" s="2">
        <f t="shared" si="51"/>
        <v>3000</v>
      </c>
      <c r="W212" s="2">
        <f t="shared" si="52"/>
        <v>875</v>
      </c>
      <c r="X212" s="2">
        <f t="shared" si="53"/>
        <v>6500</v>
      </c>
      <c r="Y212" s="2">
        <f>+X212*iir</f>
        <v>585</v>
      </c>
      <c r="Z212" s="2">
        <f>+X212*ins_tax</f>
        <v>156</v>
      </c>
      <c r="AA212" s="2">
        <f t="shared" si="56"/>
        <v>1616</v>
      </c>
      <c r="AB212" s="2">
        <f t="shared" si="57"/>
        <v>10.773333333333333</v>
      </c>
    </row>
    <row r="213" spans="1:28" ht="15">
      <c r="A213" s="145" t="str">
        <f t="shared" si="45"/>
        <v>Plow 5 Bottom Switch7.5'</v>
      </c>
      <c r="B213" s="140" t="s">
        <v>418</v>
      </c>
      <c r="C213" s="140" t="s">
        <v>419</v>
      </c>
      <c r="D213" s="146">
        <v>7.5</v>
      </c>
      <c r="E213" s="143">
        <v>4</v>
      </c>
      <c r="F213" s="143">
        <v>0.8</v>
      </c>
      <c r="G213" s="147">
        <f t="shared" si="58"/>
        <v>0.34375</v>
      </c>
      <c r="H213" s="140">
        <v>11500</v>
      </c>
      <c r="I213" s="47">
        <v>30</v>
      </c>
      <c r="J213" s="47">
        <v>40</v>
      </c>
      <c r="K213" s="47">
        <v>8</v>
      </c>
      <c r="L213" s="47">
        <v>150</v>
      </c>
      <c r="M213" s="48">
        <v>0</v>
      </c>
      <c r="N213" s="34">
        <f t="shared" si="46"/>
        <v>1200</v>
      </c>
      <c r="O213" s="28">
        <v>1</v>
      </c>
      <c r="P213" s="41">
        <v>0.27</v>
      </c>
      <c r="Q213" s="41">
        <v>1.4</v>
      </c>
      <c r="R213" s="31">
        <f t="shared" si="47"/>
        <v>218.06670790115206</v>
      </c>
      <c r="S213" s="31">
        <f t="shared" si="48"/>
        <v>1.4537780526743471</v>
      </c>
      <c r="T213" s="32">
        <f t="shared" si="49"/>
        <v>575</v>
      </c>
      <c r="U213" s="32">
        <f t="shared" si="50"/>
        <v>3.8333333333333335</v>
      </c>
      <c r="V213" s="2">
        <f t="shared" si="51"/>
        <v>3450</v>
      </c>
      <c r="W213" s="2">
        <f t="shared" si="52"/>
        <v>1006.25</v>
      </c>
      <c r="X213" s="2">
        <f t="shared" si="53"/>
        <v>7475</v>
      </c>
      <c r="Y213" s="2">
        <f>+X213*iir</f>
        <v>672.75</v>
      </c>
      <c r="Z213" s="2">
        <f>+X213*ins_tax</f>
        <v>179.4</v>
      </c>
      <c r="AA213" s="2">
        <f t="shared" si="56"/>
        <v>1858.4</v>
      </c>
      <c r="AB213" s="2">
        <f t="shared" si="57"/>
        <v>12.389333333333333</v>
      </c>
    </row>
    <row r="214" spans="1:28" ht="15">
      <c r="A214" s="30" t="str">
        <f t="shared" si="45"/>
        <v>Roller32'</v>
      </c>
      <c r="B214" s="47" t="s">
        <v>196</v>
      </c>
      <c r="C214" s="47" t="s">
        <v>95</v>
      </c>
      <c r="D214" s="49">
        <v>32</v>
      </c>
      <c r="E214" s="3">
        <v>6.5</v>
      </c>
      <c r="F214" s="3">
        <v>0.85</v>
      </c>
      <c r="G214" s="84">
        <f t="shared" si="58"/>
        <v>0.04666289592760181</v>
      </c>
      <c r="H214" s="150">
        <v>14923</v>
      </c>
      <c r="I214" s="150">
        <v>30</v>
      </c>
      <c r="J214" s="150">
        <v>20</v>
      </c>
      <c r="K214" s="150">
        <v>12</v>
      </c>
      <c r="L214" s="150">
        <v>100</v>
      </c>
      <c r="M214" s="48">
        <v>0</v>
      </c>
      <c r="N214" s="34">
        <f t="shared" si="46"/>
        <v>1200</v>
      </c>
      <c r="O214" s="28">
        <v>1</v>
      </c>
      <c r="P214" s="41">
        <v>0.27</v>
      </c>
      <c r="Q214" s="41">
        <v>1.4</v>
      </c>
      <c r="R214" s="31">
        <f t="shared" si="47"/>
        <v>160.40573926658578</v>
      </c>
      <c r="S214" s="31">
        <f t="shared" si="48"/>
        <v>1.604057392665858</v>
      </c>
      <c r="T214" s="32">
        <f t="shared" si="49"/>
        <v>248.71666666666667</v>
      </c>
      <c r="U214" s="32">
        <f t="shared" si="50"/>
        <v>2.4871666666666665</v>
      </c>
      <c r="V214" s="2">
        <f t="shared" si="51"/>
        <v>4476.9</v>
      </c>
      <c r="W214" s="2">
        <f t="shared" si="52"/>
        <v>870.5083333333333</v>
      </c>
      <c r="X214" s="2">
        <f t="shared" si="53"/>
        <v>9699.95</v>
      </c>
      <c r="Y214" s="2">
        <f t="shared" si="54"/>
        <v>872.9955</v>
      </c>
      <c r="Z214" s="2">
        <f t="shared" si="55"/>
        <v>232.79880000000003</v>
      </c>
      <c r="AA214" s="2">
        <f t="shared" si="56"/>
        <v>1976.3026333333332</v>
      </c>
      <c r="AB214" s="2">
        <f t="shared" si="57"/>
        <v>19.763026333333332</v>
      </c>
    </row>
    <row r="215" spans="1:28" ht="15">
      <c r="A215" s="30" t="str">
        <f t="shared" si="45"/>
        <v>Rotary Cutter12'</v>
      </c>
      <c r="B215" s="47" t="s">
        <v>132</v>
      </c>
      <c r="C215" s="47" t="s">
        <v>92</v>
      </c>
      <c r="D215" s="49">
        <v>12</v>
      </c>
      <c r="E215" s="3">
        <v>8.75</v>
      </c>
      <c r="F215" s="3">
        <v>0.8</v>
      </c>
      <c r="G215" s="84">
        <f t="shared" si="58"/>
        <v>0.09821428571428571</v>
      </c>
      <c r="H215" s="150">
        <v>6735</v>
      </c>
      <c r="I215" s="150">
        <v>30</v>
      </c>
      <c r="J215" s="150">
        <v>150</v>
      </c>
      <c r="K215" s="150">
        <v>10</v>
      </c>
      <c r="L215" s="150">
        <v>185</v>
      </c>
      <c r="M215" s="48">
        <v>0</v>
      </c>
      <c r="N215" s="34">
        <f t="shared" si="46"/>
        <v>1850</v>
      </c>
      <c r="O215" s="28">
        <v>1</v>
      </c>
      <c r="P215" s="41">
        <v>0.27</v>
      </c>
      <c r="Q215" s="41">
        <v>1.4</v>
      </c>
      <c r="R215" s="31">
        <f t="shared" si="47"/>
        <v>171.29385524779704</v>
      </c>
      <c r="S215" s="31">
        <f t="shared" si="48"/>
        <v>0.9259127310691732</v>
      </c>
      <c r="T215" s="32">
        <f t="shared" si="49"/>
        <v>1010.25</v>
      </c>
      <c r="U215" s="32">
        <f t="shared" si="50"/>
        <v>5.460810810810811</v>
      </c>
      <c r="V215" s="2">
        <f t="shared" si="51"/>
        <v>2020.5</v>
      </c>
      <c r="W215" s="2">
        <f t="shared" si="52"/>
        <v>471.45</v>
      </c>
      <c r="X215" s="2">
        <f t="shared" si="53"/>
        <v>4377.75</v>
      </c>
      <c r="Y215" s="2">
        <f t="shared" si="54"/>
        <v>393.9975</v>
      </c>
      <c r="Z215" s="2">
        <f t="shared" si="55"/>
        <v>105.066</v>
      </c>
      <c r="AA215" s="2">
        <f t="shared" si="56"/>
        <v>970.5135</v>
      </c>
      <c r="AB215" s="2">
        <f t="shared" si="57"/>
        <v>5.246018918918919</v>
      </c>
    </row>
    <row r="216" spans="1:28" ht="15">
      <c r="A216" s="30" t="str">
        <f t="shared" si="45"/>
        <v>Rotary Cutter15'</v>
      </c>
      <c r="B216" s="47" t="s">
        <v>132</v>
      </c>
      <c r="C216" s="47" t="s">
        <v>120</v>
      </c>
      <c r="D216" s="49">
        <v>15</v>
      </c>
      <c r="E216" s="3">
        <v>8.75</v>
      </c>
      <c r="F216" s="3">
        <v>0.8</v>
      </c>
      <c r="G216" s="84">
        <f t="shared" si="58"/>
        <v>0.07857142857142857</v>
      </c>
      <c r="H216" s="150">
        <v>13517</v>
      </c>
      <c r="I216" s="150">
        <v>30</v>
      </c>
      <c r="J216" s="150">
        <v>150</v>
      </c>
      <c r="K216" s="150">
        <v>10</v>
      </c>
      <c r="L216" s="150">
        <v>185</v>
      </c>
      <c r="M216" s="48">
        <v>0</v>
      </c>
      <c r="N216" s="34">
        <f t="shared" si="46"/>
        <v>1850</v>
      </c>
      <c r="O216" s="28">
        <v>1</v>
      </c>
      <c r="P216" s="41">
        <v>0.27</v>
      </c>
      <c r="Q216" s="41">
        <v>1.4</v>
      </c>
      <c r="R216" s="31">
        <f t="shared" si="47"/>
        <v>343.7830796413471</v>
      </c>
      <c r="S216" s="31">
        <f t="shared" si="48"/>
        <v>1.8582869169802547</v>
      </c>
      <c r="T216" s="32">
        <f t="shared" si="49"/>
        <v>2027.55</v>
      </c>
      <c r="U216" s="32">
        <f t="shared" si="50"/>
        <v>10.95972972972973</v>
      </c>
      <c r="V216" s="2">
        <f t="shared" si="51"/>
        <v>4055.1</v>
      </c>
      <c r="W216" s="2">
        <f t="shared" si="52"/>
        <v>946.1899999999999</v>
      </c>
      <c r="X216" s="2">
        <f t="shared" si="53"/>
        <v>8786.05</v>
      </c>
      <c r="Y216" s="2">
        <f t="shared" si="54"/>
        <v>790.7444999999999</v>
      </c>
      <c r="Z216" s="2">
        <f t="shared" si="55"/>
        <v>210.8652</v>
      </c>
      <c r="AA216" s="2">
        <f t="shared" si="56"/>
        <v>1947.7996999999998</v>
      </c>
      <c r="AB216" s="2">
        <f t="shared" si="57"/>
        <v>10.528647027027025</v>
      </c>
    </row>
    <row r="217" spans="1:28" ht="15">
      <c r="A217" s="30" t="str">
        <f t="shared" si="45"/>
        <v>Rotary Cutter7'</v>
      </c>
      <c r="B217" s="47" t="s">
        <v>132</v>
      </c>
      <c r="C217" s="47" t="s">
        <v>250</v>
      </c>
      <c r="D217" s="49">
        <v>7</v>
      </c>
      <c r="E217" s="3">
        <v>8.75</v>
      </c>
      <c r="F217" s="3">
        <v>0.8</v>
      </c>
      <c r="G217" s="84">
        <f t="shared" si="58"/>
        <v>0.1683673469387755</v>
      </c>
      <c r="H217" s="150">
        <v>3686</v>
      </c>
      <c r="I217" s="150">
        <v>30</v>
      </c>
      <c r="J217" s="150">
        <v>150</v>
      </c>
      <c r="K217" s="150">
        <v>10</v>
      </c>
      <c r="L217" s="150">
        <v>185</v>
      </c>
      <c r="M217" s="48">
        <v>0</v>
      </c>
      <c r="N217" s="34">
        <f t="shared" si="46"/>
        <v>1850</v>
      </c>
      <c r="O217" s="28">
        <v>1</v>
      </c>
      <c r="P217" s="41">
        <v>0.27</v>
      </c>
      <c r="Q217" s="41">
        <v>1.4</v>
      </c>
      <c r="R217" s="31">
        <f t="shared" si="47"/>
        <v>93.7474610903311</v>
      </c>
      <c r="S217" s="31">
        <f t="shared" si="48"/>
        <v>0.5067430329207087</v>
      </c>
      <c r="T217" s="32">
        <f t="shared" si="49"/>
        <v>552.9</v>
      </c>
      <c r="U217" s="32">
        <f t="shared" si="50"/>
        <v>2.9886486486486485</v>
      </c>
      <c r="V217" s="2">
        <f t="shared" si="51"/>
        <v>1105.8</v>
      </c>
      <c r="W217" s="2">
        <f t="shared" si="52"/>
        <v>258.02</v>
      </c>
      <c r="X217" s="2">
        <f t="shared" si="53"/>
        <v>2395.9</v>
      </c>
      <c r="Y217" s="2">
        <f t="shared" si="54"/>
        <v>215.631</v>
      </c>
      <c r="Z217" s="2">
        <f t="shared" si="55"/>
        <v>57.5016</v>
      </c>
      <c r="AA217" s="2">
        <f t="shared" si="56"/>
        <v>531.1526</v>
      </c>
      <c r="AB217" s="2">
        <f t="shared" si="57"/>
        <v>2.871095135135135</v>
      </c>
    </row>
    <row r="218" spans="1:28" ht="15">
      <c r="A218" s="30" t="str">
        <f t="shared" si="45"/>
        <v>Row Cond &amp; Inc13'</v>
      </c>
      <c r="B218" s="47" t="s">
        <v>133</v>
      </c>
      <c r="C218" s="47" t="s">
        <v>134</v>
      </c>
      <c r="D218" s="49">
        <v>13</v>
      </c>
      <c r="E218" s="3">
        <v>5.75</v>
      </c>
      <c r="F218" s="3">
        <v>0.85</v>
      </c>
      <c r="G218" s="84">
        <f t="shared" si="58"/>
        <v>0.1298445799724572</v>
      </c>
      <c r="H218" s="150">
        <v>10401</v>
      </c>
      <c r="I218" s="150">
        <v>30</v>
      </c>
      <c r="J218" s="150">
        <v>25</v>
      </c>
      <c r="K218" s="150">
        <v>10</v>
      </c>
      <c r="L218" s="150">
        <v>100</v>
      </c>
      <c r="M218" s="48">
        <v>0</v>
      </c>
      <c r="N218" s="34">
        <f t="shared" si="46"/>
        <v>1000</v>
      </c>
      <c r="O218" s="28">
        <v>1</v>
      </c>
      <c r="P218" s="41">
        <v>0.27</v>
      </c>
      <c r="Q218" s="41">
        <v>1.4</v>
      </c>
      <c r="R218" s="31">
        <f t="shared" si="47"/>
        <v>111.79924238502704</v>
      </c>
      <c r="S218" s="31">
        <f t="shared" si="48"/>
        <v>1.1179924238502705</v>
      </c>
      <c r="T218" s="32">
        <f t="shared" si="49"/>
        <v>260.025</v>
      </c>
      <c r="U218" s="32">
        <f t="shared" si="50"/>
        <v>2.60025</v>
      </c>
      <c r="V218" s="2">
        <f t="shared" si="51"/>
        <v>3120.3</v>
      </c>
      <c r="W218" s="2">
        <f t="shared" si="52"/>
        <v>728.0699999999999</v>
      </c>
      <c r="X218" s="2">
        <f t="shared" si="53"/>
        <v>6760.65</v>
      </c>
      <c r="Y218" s="2">
        <f t="shared" si="54"/>
        <v>608.4585</v>
      </c>
      <c r="Z218" s="2">
        <f t="shared" si="55"/>
        <v>162.2556</v>
      </c>
      <c r="AA218" s="2">
        <f t="shared" si="56"/>
        <v>1498.7840999999999</v>
      </c>
      <c r="AB218" s="2">
        <f t="shared" si="57"/>
        <v>14.987840999999998</v>
      </c>
    </row>
    <row r="219" spans="1:28" ht="15">
      <c r="A219" s="30" t="str">
        <f t="shared" si="45"/>
        <v>Row Cond &amp; Inc21'</v>
      </c>
      <c r="B219" s="47" t="s">
        <v>133</v>
      </c>
      <c r="C219" s="47" t="s">
        <v>125</v>
      </c>
      <c r="D219" s="49">
        <v>21</v>
      </c>
      <c r="E219" s="3">
        <v>5.75</v>
      </c>
      <c r="F219" s="3">
        <v>0.85</v>
      </c>
      <c r="G219" s="84">
        <f t="shared" si="58"/>
        <v>0.0803799780781878</v>
      </c>
      <c r="H219" s="150">
        <v>13066</v>
      </c>
      <c r="I219" s="150">
        <v>30</v>
      </c>
      <c r="J219" s="150">
        <v>25</v>
      </c>
      <c r="K219" s="150">
        <v>10</v>
      </c>
      <c r="L219" s="150">
        <v>100</v>
      </c>
      <c r="M219" s="48">
        <v>0</v>
      </c>
      <c r="N219" s="34">
        <f t="shared" si="46"/>
        <v>1000</v>
      </c>
      <c r="O219" s="28">
        <v>1</v>
      </c>
      <c r="P219" s="41">
        <v>0.27</v>
      </c>
      <c r="Q219" s="41">
        <v>1.4</v>
      </c>
      <c r="R219" s="31">
        <f t="shared" si="47"/>
        <v>140.44504384220394</v>
      </c>
      <c r="S219" s="31">
        <f t="shared" si="48"/>
        <v>1.4044504384220395</v>
      </c>
      <c r="T219" s="32">
        <f t="shared" si="49"/>
        <v>326.65</v>
      </c>
      <c r="U219" s="32">
        <f t="shared" si="50"/>
        <v>3.2664999999999997</v>
      </c>
      <c r="V219" s="2">
        <f t="shared" si="51"/>
        <v>3919.8</v>
      </c>
      <c r="W219" s="2">
        <f t="shared" si="52"/>
        <v>914.6200000000001</v>
      </c>
      <c r="X219" s="2">
        <f t="shared" si="53"/>
        <v>8492.9</v>
      </c>
      <c r="Y219" s="2">
        <f t="shared" si="54"/>
        <v>764.361</v>
      </c>
      <c r="Z219" s="2">
        <f t="shared" si="55"/>
        <v>203.8296</v>
      </c>
      <c r="AA219" s="2">
        <f t="shared" si="56"/>
        <v>1882.8106000000002</v>
      </c>
      <c r="AB219" s="2">
        <f t="shared" si="57"/>
        <v>18.828106000000002</v>
      </c>
    </row>
    <row r="220" spans="1:28" ht="15">
      <c r="A220" s="30" t="str">
        <f t="shared" si="45"/>
        <v>Row Cond &amp; Inc27'</v>
      </c>
      <c r="B220" s="47" t="s">
        <v>133</v>
      </c>
      <c r="C220" s="47" t="s">
        <v>126</v>
      </c>
      <c r="D220" s="49">
        <v>27</v>
      </c>
      <c r="E220" s="3">
        <v>5.75</v>
      </c>
      <c r="F220" s="3">
        <v>0.85</v>
      </c>
      <c r="G220" s="84">
        <f t="shared" si="58"/>
        <v>0.0625177607274794</v>
      </c>
      <c r="H220" s="150">
        <v>14846</v>
      </c>
      <c r="I220" s="150">
        <v>30</v>
      </c>
      <c r="J220" s="150">
        <v>25</v>
      </c>
      <c r="K220" s="150">
        <v>10</v>
      </c>
      <c r="L220" s="150">
        <v>100</v>
      </c>
      <c r="M220" s="48">
        <v>0</v>
      </c>
      <c r="N220" s="34">
        <f t="shared" si="46"/>
        <v>1000</v>
      </c>
      <c r="O220" s="28">
        <v>1</v>
      </c>
      <c r="P220" s="41">
        <v>0.27</v>
      </c>
      <c r="Q220" s="41">
        <v>1.4</v>
      </c>
      <c r="R220" s="31">
        <f t="shared" si="47"/>
        <v>159.57807445900505</v>
      </c>
      <c r="S220" s="31">
        <f t="shared" si="48"/>
        <v>1.5957807445900505</v>
      </c>
      <c r="T220" s="32">
        <f t="shared" si="49"/>
        <v>371.15</v>
      </c>
      <c r="U220" s="32">
        <f t="shared" si="50"/>
        <v>3.7114999999999996</v>
      </c>
      <c r="V220" s="2">
        <f t="shared" si="51"/>
        <v>4453.8</v>
      </c>
      <c r="W220" s="2">
        <f t="shared" si="52"/>
        <v>1039.22</v>
      </c>
      <c r="X220" s="2">
        <f t="shared" si="53"/>
        <v>9649.9</v>
      </c>
      <c r="Y220" s="2">
        <f t="shared" si="54"/>
        <v>868.491</v>
      </c>
      <c r="Z220" s="2">
        <f t="shared" si="55"/>
        <v>231.5976</v>
      </c>
      <c r="AA220" s="2">
        <f t="shared" si="56"/>
        <v>2139.3086000000003</v>
      </c>
      <c r="AB220" s="2">
        <f t="shared" si="57"/>
        <v>21.393086000000004</v>
      </c>
    </row>
    <row r="221" spans="1:28" ht="15">
      <c r="A221" s="30" t="str">
        <f t="shared" si="45"/>
        <v>Row Cond &amp; Inc32'</v>
      </c>
      <c r="B221" s="47" t="s">
        <v>133</v>
      </c>
      <c r="C221" s="47" t="s">
        <v>95</v>
      </c>
      <c r="D221" s="49">
        <v>32</v>
      </c>
      <c r="E221" s="3">
        <v>5.75</v>
      </c>
      <c r="F221" s="3">
        <v>0.85</v>
      </c>
      <c r="G221" s="84">
        <f t="shared" si="58"/>
        <v>0.05274936061381074</v>
      </c>
      <c r="H221" s="150">
        <v>20619</v>
      </c>
      <c r="I221" s="150">
        <v>30</v>
      </c>
      <c r="J221" s="150">
        <v>25</v>
      </c>
      <c r="K221" s="150">
        <v>10</v>
      </c>
      <c r="L221" s="150">
        <v>100</v>
      </c>
      <c r="M221" s="48">
        <v>0</v>
      </c>
      <c r="N221" s="34">
        <f t="shared" si="46"/>
        <v>1000</v>
      </c>
      <c r="O221" s="28">
        <v>1</v>
      </c>
      <c r="P221" s="41">
        <v>0.27</v>
      </c>
      <c r="Q221" s="41">
        <v>1.4</v>
      </c>
      <c r="R221" s="31">
        <f t="shared" si="47"/>
        <v>221.63143724034924</v>
      </c>
      <c r="S221" s="31">
        <f t="shared" si="48"/>
        <v>2.2163143724034926</v>
      </c>
      <c r="T221" s="32">
        <f t="shared" si="49"/>
        <v>515.475</v>
      </c>
      <c r="U221" s="32">
        <f t="shared" si="50"/>
        <v>5.15475</v>
      </c>
      <c r="V221" s="2">
        <f t="shared" si="51"/>
        <v>6185.7</v>
      </c>
      <c r="W221" s="2">
        <f t="shared" si="52"/>
        <v>1443.33</v>
      </c>
      <c r="X221" s="2">
        <f t="shared" si="53"/>
        <v>13402.35</v>
      </c>
      <c r="Y221" s="2">
        <f t="shared" si="54"/>
        <v>1206.2115</v>
      </c>
      <c r="Z221" s="2">
        <f t="shared" si="55"/>
        <v>321.6564</v>
      </c>
      <c r="AA221" s="2">
        <f t="shared" si="56"/>
        <v>2971.1979</v>
      </c>
      <c r="AB221" s="2">
        <f t="shared" si="57"/>
        <v>29.711979</v>
      </c>
    </row>
    <row r="222" spans="1:28" ht="15">
      <c r="A222" s="30" t="str">
        <f t="shared" si="45"/>
        <v>Row Cond &amp; Inc42'</v>
      </c>
      <c r="B222" s="47" t="s">
        <v>133</v>
      </c>
      <c r="C222" s="47" t="s">
        <v>96</v>
      </c>
      <c r="D222" s="49">
        <v>42</v>
      </c>
      <c r="E222" s="3">
        <v>5.75</v>
      </c>
      <c r="F222" s="3">
        <v>0.85</v>
      </c>
      <c r="G222" s="84">
        <f t="shared" si="58"/>
        <v>0.0401899890390939</v>
      </c>
      <c r="H222" s="150">
        <v>22067</v>
      </c>
      <c r="I222" s="150">
        <v>30</v>
      </c>
      <c r="J222" s="150">
        <v>25</v>
      </c>
      <c r="K222" s="150">
        <v>10</v>
      </c>
      <c r="L222" s="150">
        <v>100</v>
      </c>
      <c r="M222" s="48">
        <v>0</v>
      </c>
      <c r="N222" s="34">
        <f t="shared" si="46"/>
        <v>1000</v>
      </c>
      <c r="O222" s="28">
        <v>1</v>
      </c>
      <c r="P222" s="41">
        <v>0.27</v>
      </c>
      <c r="Q222" s="41">
        <v>1.4</v>
      </c>
      <c r="R222" s="31">
        <f t="shared" si="47"/>
        <v>237.1958351803088</v>
      </c>
      <c r="S222" s="31">
        <f t="shared" si="48"/>
        <v>2.371958351803088</v>
      </c>
      <c r="T222" s="32">
        <f t="shared" si="49"/>
        <v>551.675</v>
      </c>
      <c r="U222" s="32">
        <f t="shared" si="50"/>
        <v>5.516749999999999</v>
      </c>
      <c r="V222" s="2">
        <f t="shared" si="51"/>
        <v>6620.1</v>
      </c>
      <c r="W222" s="2">
        <f t="shared" si="52"/>
        <v>1544.69</v>
      </c>
      <c r="X222" s="2">
        <f t="shared" si="53"/>
        <v>14343.55</v>
      </c>
      <c r="Y222" s="2">
        <f t="shared" si="54"/>
        <v>1290.9195</v>
      </c>
      <c r="Z222" s="2">
        <f t="shared" si="55"/>
        <v>344.2452</v>
      </c>
      <c r="AA222" s="2">
        <f t="shared" si="56"/>
        <v>3179.8547</v>
      </c>
      <c r="AB222" s="2">
        <f t="shared" si="57"/>
        <v>31.798547</v>
      </c>
    </row>
    <row r="223" spans="1:28" ht="15">
      <c r="A223" s="30" t="str">
        <f t="shared" si="45"/>
        <v>Row Cond (Harrow)13'</v>
      </c>
      <c r="B223" s="47" t="s">
        <v>135</v>
      </c>
      <c r="C223" s="47" t="s">
        <v>134</v>
      </c>
      <c r="D223" s="49">
        <v>13</v>
      </c>
      <c r="E223" s="3">
        <v>6.5</v>
      </c>
      <c r="F223" s="3">
        <v>0.85</v>
      </c>
      <c r="G223" s="84">
        <f t="shared" si="58"/>
        <v>0.11486251305255829</v>
      </c>
      <c r="H223" s="150">
        <v>5032</v>
      </c>
      <c r="I223" s="150">
        <v>30</v>
      </c>
      <c r="J223" s="150">
        <v>25</v>
      </c>
      <c r="K223" s="150">
        <v>10</v>
      </c>
      <c r="L223" s="150">
        <v>100</v>
      </c>
      <c r="M223" s="48">
        <v>0</v>
      </c>
      <c r="N223" s="34">
        <f t="shared" si="46"/>
        <v>1000</v>
      </c>
      <c r="O223" s="28">
        <v>1</v>
      </c>
      <c r="P223" s="41">
        <v>0.27</v>
      </c>
      <c r="Q223" s="41">
        <v>1.4</v>
      </c>
      <c r="R223" s="31">
        <f t="shared" si="47"/>
        <v>54.08843262008038</v>
      </c>
      <c r="S223" s="31">
        <f t="shared" si="48"/>
        <v>0.5408843262008038</v>
      </c>
      <c r="T223" s="32">
        <f t="shared" si="49"/>
        <v>125.8</v>
      </c>
      <c r="U223" s="32">
        <f t="shared" si="50"/>
        <v>1.258</v>
      </c>
      <c r="V223" s="2">
        <f t="shared" si="51"/>
        <v>1509.6</v>
      </c>
      <c r="W223" s="2">
        <f t="shared" si="52"/>
        <v>352.24</v>
      </c>
      <c r="X223" s="2">
        <f t="shared" si="53"/>
        <v>3270.8</v>
      </c>
      <c r="Y223" s="2">
        <f t="shared" si="54"/>
        <v>294.372</v>
      </c>
      <c r="Z223" s="2">
        <f t="shared" si="55"/>
        <v>78.4992</v>
      </c>
      <c r="AA223" s="2">
        <f t="shared" si="56"/>
        <v>725.1112</v>
      </c>
      <c r="AB223" s="2">
        <f t="shared" si="57"/>
        <v>7.251112000000001</v>
      </c>
    </row>
    <row r="224" spans="1:28" ht="15">
      <c r="A224" s="30" t="str">
        <f t="shared" si="45"/>
        <v>Row Cond (Harrow)21'</v>
      </c>
      <c r="B224" s="47" t="s">
        <v>135</v>
      </c>
      <c r="C224" s="47" t="s">
        <v>125</v>
      </c>
      <c r="D224" s="49">
        <v>21</v>
      </c>
      <c r="E224" s="3">
        <v>6.5</v>
      </c>
      <c r="F224" s="3">
        <v>0.85</v>
      </c>
      <c r="G224" s="84">
        <f t="shared" si="58"/>
        <v>0.07110536522301228</v>
      </c>
      <c r="H224" s="150">
        <v>7697</v>
      </c>
      <c r="I224" s="150">
        <v>30</v>
      </c>
      <c r="J224" s="150">
        <v>25</v>
      </c>
      <c r="K224" s="150">
        <v>10</v>
      </c>
      <c r="L224" s="150">
        <v>100</v>
      </c>
      <c r="M224" s="48">
        <v>0</v>
      </c>
      <c r="N224" s="34">
        <f t="shared" si="46"/>
        <v>1000</v>
      </c>
      <c r="O224" s="28">
        <v>1</v>
      </c>
      <c r="P224" s="41">
        <v>0.27</v>
      </c>
      <c r="Q224" s="41">
        <v>1.4</v>
      </c>
      <c r="R224" s="31">
        <f t="shared" si="47"/>
        <v>82.7342340772573</v>
      </c>
      <c r="S224" s="31">
        <f t="shared" si="48"/>
        <v>0.827342340772573</v>
      </c>
      <c r="T224" s="32">
        <f t="shared" si="49"/>
        <v>192.425</v>
      </c>
      <c r="U224" s="32">
        <f t="shared" si="50"/>
        <v>1.92425</v>
      </c>
      <c r="V224" s="2">
        <f t="shared" si="51"/>
        <v>2309.1</v>
      </c>
      <c r="W224" s="2">
        <f t="shared" si="52"/>
        <v>538.79</v>
      </c>
      <c r="X224" s="2">
        <f t="shared" si="53"/>
        <v>5003.05</v>
      </c>
      <c r="Y224" s="2">
        <f t="shared" si="54"/>
        <v>450.2745</v>
      </c>
      <c r="Z224" s="2">
        <f t="shared" si="55"/>
        <v>120.0732</v>
      </c>
      <c r="AA224" s="2">
        <f t="shared" si="56"/>
        <v>1109.1377</v>
      </c>
      <c r="AB224" s="2">
        <f t="shared" si="57"/>
        <v>11.091377</v>
      </c>
    </row>
    <row r="225" spans="1:28" ht="15">
      <c r="A225" s="30" t="str">
        <f t="shared" si="45"/>
        <v>Row Cond (Harrow)27'</v>
      </c>
      <c r="B225" s="47" t="s">
        <v>135</v>
      </c>
      <c r="C225" s="47" t="s">
        <v>126</v>
      </c>
      <c r="D225" s="49">
        <v>27</v>
      </c>
      <c r="E225" s="3">
        <v>6.5</v>
      </c>
      <c r="F225" s="3">
        <v>0.85</v>
      </c>
      <c r="G225" s="84">
        <f t="shared" si="58"/>
        <v>0.05530417295123177</v>
      </c>
      <c r="H225" s="150">
        <v>9476</v>
      </c>
      <c r="I225" s="150">
        <v>30</v>
      </c>
      <c r="J225" s="150">
        <v>25</v>
      </c>
      <c r="K225" s="150">
        <v>10</v>
      </c>
      <c r="L225" s="150">
        <v>100</v>
      </c>
      <c r="M225" s="48">
        <v>0</v>
      </c>
      <c r="N225" s="34">
        <f t="shared" si="46"/>
        <v>1000</v>
      </c>
      <c r="O225" s="28">
        <v>1</v>
      </c>
      <c r="P225" s="41">
        <v>0.27</v>
      </c>
      <c r="Q225" s="41">
        <v>1.4</v>
      </c>
      <c r="R225" s="31">
        <f t="shared" si="47"/>
        <v>101.85651580045344</v>
      </c>
      <c r="S225" s="31">
        <f t="shared" si="48"/>
        <v>1.0185651580045343</v>
      </c>
      <c r="T225" s="32">
        <f t="shared" si="49"/>
        <v>236.9</v>
      </c>
      <c r="U225" s="32">
        <f t="shared" si="50"/>
        <v>2.369</v>
      </c>
      <c r="V225" s="2">
        <f t="shared" si="51"/>
        <v>2842.8</v>
      </c>
      <c r="W225" s="2">
        <f t="shared" si="52"/>
        <v>663.3199999999999</v>
      </c>
      <c r="X225" s="2">
        <f t="shared" si="53"/>
        <v>6159.4</v>
      </c>
      <c r="Y225" s="2">
        <f t="shared" si="54"/>
        <v>554.3459999999999</v>
      </c>
      <c r="Z225" s="2">
        <f t="shared" si="55"/>
        <v>147.8256</v>
      </c>
      <c r="AA225" s="2">
        <f t="shared" si="56"/>
        <v>1365.4915999999998</v>
      </c>
      <c r="AB225" s="2">
        <f t="shared" si="57"/>
        <v>13.654915999999998</v>
      </c>
    </row>
    <row r="226" spans="1:28" ht="15">
      <c r="A226" s="30" t="str">
        <f t="shared" si="45"/>
        <v>Row Cond (Harrow)32'</v>
      </c>
      <c r="B226" s="47" t="s">
        <v>135</v>
      </c>
      <c r="C226" s="47" t="s">
        <v>95</v>
      </c>
      <c r="D226" s="49">
        <v>32</v>
      </c>
      <c r="E226" s="3">
        <v>6.5</v>
      </c>
      <c r="F226" s="3">
        <v>0.85</v>
      </c>
      <c r="G226" s="84">
        <f t="shared" si="58"/>
        <v>0.04666289592760181</v>
      </c>
      <c r="H226" s="150">
        <v>12850</v>
      </c>
      <c r="I226" s="150">
        <v>30</v>
      </c>
      <c r="J226" s="150">
        <v>25</v>
      </c>
      <c r="K226" s="150">
        <v>10</v>
      </c>
      <c r="L226" s="150">
        <v>100</v>
      </c>
      <c r="M226" s="48">
        <v>0</v>
      </c>
      <c r="N226" s="34">
        <f t="shared" si="46"/>
        <v>1000</v>
      </c>
      <c r="O226" s="28">
        <v>1</v>
      </c>
      <c r="P226" s="41">
        <v>0.27</v>
      </c>
      <c r="Q226" s="41">
        <v>1.4</v>
      </c>
      <c r="R226" s="31">
        <f t="shared" si="47"/>
        <v>138.12328282353596</v>
      </c>
      <c r="S226" s="31">
        <f t="shared" si="48"/>
        <v>1.3812328282353596</v>
      </c>
      <c r="T226" s="32">
        <f t="shared" si="49"/>
        <v>321.25</v>
      </c>
      <c r="U226" s="32">
        <f t="shared" si="50"/>
        <v>3.2125</v>
      </c>
      <c r="V226" s="2">
        <f t="shared" si="51"/>
        <v>3855</v>
      </c>
      <c r="W226" s="2">
        <f t="shared" si="52"/>
        <v>899.5</v>
      </c>
      <c r="X226" s="2">
        <f t="shared" si="53"/>
        <v>8352.5</v>
      </c>
      <c r="Y226" s="2">
        <f t="shared" si="54"/>
        <v>751.725</v>
      </c>
      <c r="Z226" s="2">
        <f t="shared" si="55"/>
        <v>200.46</v>
      </c>
      <c r="AA226" s="2">
        <f t="shared" si="56"/>
        <v>1851.685</v>
      </c>
      <c r="AB226" s="2">
        <f t="shared" si="57"/>
        <v>18.516849999999998</v>
      </c>
    </row>
    <row r="227" spans="1:28" ht="15">
      <c r="A227" s="30" t="str">
        <f t="shared" si="45"/>
        <v>Row Cond (Harrow)42'</v>
      </c>
      <c r="B227" s="47" t="s">
        <v>135</v>
      </c>
      <c r="C227" s="47" t="s">
        <v>96</v>
      </c>
      <c r="D227" s="49">
        <v>42</v>
      </c>
      <c r="E227" s="3">
        <v>6.5</v>
      </c>
      <c r="F227" s="3">
        <v>0.85</v>
      </c>
      <c r="G227" s="84">
        <f t="shared" si="58"/>
        <v>0.03555268261150614</v>
      </c>
      <c r="H227" s="150">
        <v>16495</v>
      </c>
      <c r="I227" s="150">
        <v>30</v>
      </c>
      <c r="J227" s="150">
        <v>25</v>
      </c>
      <c r="K227" s="150">
        <v>10</v>
      </c>
      <c r="L227" s="150">
        <v>100</v>
      </c>
      <c r="M227" s="48">
        <v>0</v>
      </c>
      <c r="N227" s="34">
        <f t="shared" si="46"/>
        <v>1000</v>
      </c>
      <c r="O227" s="28">
        <v>1</v>
      </c>
      <c r="P227" s="41">
        <v>0.27</v>
      </c>
      <c r="Q227" s="41">
        <v>1.4</v>
      </c>
      <c r="R227" s="31">
        <f t="shared" si="47"/>
        <v>177.30300001355843</v>
      </c>
      <c r="S227" s="31">
        <f t="shared" si="48"/>
        <v>1.7730300001355843</v>
      </c>
      <c r="T227" s="32">
        <f t="shared" si="49"/>
        <v>412.375</v>
      </c>
      <c r="U227" s="32">
        <f t="shared" si="50"/>
        <v>4.12375</v>
      </c>
      <c r="V227" s="2">
        <f t="shared" si="51"/>
        <v>4948.5</v>
      </c>
      <c r="W227" s="2">
        <f t="shared" si="52"/>
        <v>1154.65</v>
      </c>
      <c r="X227" s="2">
        <f t="shared" si="53"/>
        <v>10721.75</v>
      </c>
      <c r="Y227" s="2">
        <f t="shared" si="54"/>
        <v>964.9575</v>
      </c>
      <c r="Z227" s="2">
        <f t="shared" si="55"/>
        <v>257.322</v>
      </c>
      <c r="AA227" s="2">
        <f t="shared" si="56"/>
        <v>2376.9295</v>
      </c>
      <c r="AB227" s="2">
        <f t="shared" si="57"/>
        <v>23.769295000000003</v>
      </c>
    </row>
    <row r="228" spans="1:28" ht="15">
      <c r="A228" s="30" t="str">
        <f t="shared" si="45"/>
        <v>Row Cond (Plant)13'</v>
      </c>
      <c r="B228" s="47" t="s">
        <v>136</v>
      </c>
      <c r="C228" s="47" t="s">
        <v>134</v>
      </c>
      <c r="D228" s="49">
        <v>13</v>
      </c>
      <c r="E228" s="3">
        <v>4.75</v>
      </c>
      <c r="F228" s="3">
        <v>0.85</v>
      </c>
      <c r="G228" s="84">
        <f t="shared" si="58"/>
        <v>0.1571802810192903</v>
      </c>
      <c r="H228" s="150">
        <v>5032</v>
      </c>
      <c r="I228" s="150">
        <v>30</v>
      </c>
      <c r="J228" s="150">
        <v>25</v>
      </c>
      <c r="K228" s="150">
        <v>10</v>
      </c>
      <c r="L228" s="150">
        <v>100</v>
      </c>
      <c r="M228" s="48">
        <v>0</v>
      </c>
      <c r="N228" s="34">
        <f t="shared" si="46"/>
        <v>1000</v>
      </c>
      <c r="O228" s="28">
        <v>1</v>
      </c>
      <c r="P228" s="41">
        <v>0.27</v>
      </c>
      <c r="Q228" s="41">
        <v>1.4</v>
      </c>
      <c r="R228" s="31">
        <f t="shared" si="47"/>
        <v>54.08843262008038</v>
      </c>
      <c r="S228" s="31">
        <f t="shared" si="48"/>
        <v>0.5408843262008038</v>
      </c>
      <c r="T228" s="32">
        <f t="shared" si="49"/>
        <v>125.8</v>
      </c>
      <c r="U228" s="32">
        <f t="shared" si="50"/>
        <v>1.258</v>
      </c>
      <c r="V228" s="2">
        <f t="shared" si="51"/>
        <v>1509.6</v>
      </c>
      <c r="W228" s="2">
        <f t="shared" si="52"/>
        <v>352.24</v>
      </c>
      <c r="X228" s="2">
        <f t="shared" si="53"/>
        <v>3270.8</v>
      </c>
      <c r="Y228" s="2">
        <f t="shared" si="54"/>
        <v>294.372</v>
      </c>
      <c r="Z228" s="2">
        <f t="shared" si="55"/>
        <v>78.4992</v>
      </c>
      <c r="AA228" s="2">
        <f t="shared" si="56"/>
        <v>725.1112</v>
      </c>
      <c r="AB228" s="2">
        <f t="shared" si="57"/>
        <v>7.251112000000001</v>
      </c>
    </row>
    <row r="229" spans="1:28" ht="15">
      <c r="A229" s="30" t="str">
        <f t="shared" si="45"/>
        <v>Row Cond (Plant)21'</v>
      </c>
      <c r="B229" s="47" t="s">
        <v>136</v>
      </c>
      <c r="C229" s="47" t="s">
        <v>125</v>
      </c>
      <c r="D229" s="49">
        <v>21</v>
      </c>
      <c r="E229" s="3">
        <v>4.75</v>
      </c>
      <c r="F229" s="3">
        <v>0.85</v>
      </c>
      <c r="G229" s="84">
        <f t="shared" si="58"/>
        <v>0.09730207872622733</v>
      </c>
      <c r="H229" s="150">
        <v>7697</v>
      </c>
      <c r="I229" s="150">
        <v>30</v>
      </c>
      <c r="J229" s="150">
        <v>25</v>
      </c>
      <c r="K229" s="150">
        <v>10</v>
      </c>
      <c r="L229" s="150">
        <v>100</v>
      </c>
      <c r="M229" s="48">
        <v>0</v>
      </c>
      <c r="N229" s="34">
        <f t="shared" si="46"/>
        <v>1000</v>
      </c>
      <c r="O229" s="28">
        <v>1</v>
      </c>
      <c r="P229" s="41">
        <v>0.27</v>
      </c>
      <c r="Q229" s="41">
        <v>1.4</v>
      </c>
      <c r="R229" s="31">
        <f t="shared" si="47"/>
        <v>82.7342340772573</v>
      </c>
      <c r="S229" s="31">
        <f t="shared" si="48"/>
        <v>0.827342340772573</v>
      </c>
      <c r="T229" s="32">
        <f t="shared" si="49"/>
        <v>192.425</v>
      </c>
      <c r="U229" s="32">
        <f t="shared" si="50"/>
        <v>1.92425</v>
      </c>
      <c r="V229" s="2">
        <f t="shared" si="51"/>
        <v>2309.1</v>
      </c>
      <c r="W229" s="2">
        <f t="shared" si="52"/>
        <v>538.79</v>
      </c>
      <c r="X229" s="2">
        <f t="shared" si="53"/>
        <v>5003.05</v>
      </c>
      <c r="Y229" s="2">
        <f t="shared" si="54"/>
        <v>450.2745</v>
      </c>
      <c r="Z229" s="2">
        <f t="shared" si="55"/>
        <v>120.0732</v>
      </c>
      <c r="AA229" s="2">
        <f t="shared" si="56"/>
        <v>1109.1377</v>
      </c>
      <c r="AB229" s="2">
        <f t="shared" si="57"/>
        <v>11.091377</v>
      </c>
    </row>
    <row r="230" spans="1:28" ht="15">
      <c r="A230" s="30" t="str">
        <f t="shared" si="45"/>
        <v>Row Cond (Plant)27'</v>
      </c>
      <c r="B230" s="47" t="s">
        <v>136</v>
      </c>
      <c r="C230" s="47" t="s">
        <v>126</v>
      </c>
      <c r="D230" s="49">
        <v>27</v>
      </c>
      <c r="E230" s="3">
        <v>4.75</v>
      </c>
      <c r="F230" s="3">
        <v>0.85</v>
      </c>
      <c r="G230" s="84">
        <f t="shared" si="58"/>
        <v>0.07567939456484349</v>
      </c>
      <c r="H230" s="150">
        <v>9476</v>
      </c>
      <c r="I230" s="150">
        <v>30</v>
      </c>
      <c r="J230" s="150">
        <v>25</v>
      </c>
      <c r="K230" s="150">
        <v>10</v>
      </c>
      <c r="L230" s="150">
        <v>100</v>
      </c>
      <c r="M230" s="48">
        <v>0</v>
      </c>
      <c r="N230" s="34">
        <f t="shared" si="46"/>
        <v>1000</v>
      </c>
      <c r="O230" s="28">
        <v>1</v>
      </c>
      <c r="P230" s="41">
        <v>0.27</v>
      </c>
      <c r="Q230" s="41">
        <v>1.4</v>
      </c>
      <c r="R230" s="31">
        <f t="shared" si="47"/>
        <v>101.85651580045344</v>
      </c>
      <c r="S230" s="31">
        <f t="shared" si="48"/>
        <v>1.0185651580045343</v>
      </c>
      <c r="T230" s="32">
        <f t="shared" si="49"/>
        <v>236.9</v>
      </c>
      <c r="U230" s="32">
        <f t="shared" si="50"/>
        <v>2.369</v>
      </c>
      <c r="V230" s="2">
        <f t="shared" si="51"/>
        <v>2842.8</v>
      </c>
      <c r="W230" s="2">
        <f t="shared" si="52"/>
        <v>663.3199999999999</v>
      </c>
      <c r="X230" s="2">
        <f t="shared" si="53"/>
        <v>6159.4</v>
      </c>
      <c r="Y230" s="2">
        <f t="shared" si="54"/>
        <v>554.3459999999999</v>
      </c>
      <c r="Z230" s="2">
        <f t="shared" si="55"/>
        <v>147.8256</v>
      </c>
      <c r="AA230" s="2">
        <f t="shared" si="56"/>
        <v>1365.4915999999998</v>
      </c>
      <c r="AB230" s="2">
        <f t="shared" si="57"/>
        <v>13.654915999999998</v>
      </c>
    </row>
    <row r="231" spans="1:28" ht="15">
      <c r="A231" s="30" t="str">
        <f t="shared" si="45"/>
        <v>Row Cond (Plant)32'</v>
      </c>
      <c r="B231" s="47" t="s">
        <v>136</v>
      </c>
      <c r="C231" s="47" t="s">
        <v>95</v>
      </c>
      <c r="D231" s="49">
        <v>32</v>
      </c>
      <c r="E231" s="3">
        <v>4.75</v>
      </c>
      <c r="F231" s="3">
        <v>0.85</v>
      </c>
      <c r="G231" s="84">
        <f t="shared" si="58"/>
        <v>0.06385448916408669</v>
      </c>
      <c r="H231" s="150">
        <v>12850</v>
      </c>
      <c r="I231" s="150">
        <v>30</v>
      </c>
      <c r="J231" s="150">
        <v>25</v>
      </c>
      <c r="K231" s="150">
        <v>10</v>
      </c>
      <c r="L231" s="150">
        <v>100</v>
      </c>
      <c r="M231" s="48">
        <v>0</v>
      </c>
      <c r="N231" s="34">
        <f t="shared" si="46"/>
        <v>1000</v>
      </c>
      <c r="O231" s="28">
        <v>1</v>
      </c>
      <c r="P231" s="41">
        <v>0.27</v>
      </c>
      <c r="Q231" s="41">
        <v>1.4</v>
      </c>
      <c r="R231" s="31">
        <f t="shared" si="47"/>
        <v>138.12328282353596</v>
      </c>
      <c r="S231" s="31">
        <f t="shared" si="48"/>
        <v>1.3812328282353596</v>
      </c>
      <c r="T231" s="32">
        <f t="shared" si="49"/>
        <v>321.25</v>
      </c>
      <c r="U231" s="32">
        <f t="shared" si="50"/>
        <v>3.2125</v>
      </c>
      <c r="V231" s="2">
        <f t="shared" si="51"/>
        <v>3855</v>
      </c>
      <c r="W231" s="2">
        <f t="shared" si="52"/>
        <v>899.5</v>
      </c>
      <c r="X231" s="2">
        <f t="shared" si="53"/>
        <v>8352.5</v>
      </c>
      <c r="Y231" s="2">
        <f t="shared" si="54"/>
        <v>751.725</v>
      </c>
      <c r="Z231" s="2">
        <f t="shared" si="55"/>
        <v>200.46</v>
      </c>
      <c r="AA231" s="2">
        <f t="shared" si="56"/>
        <v>1851.685</v>
      </c>
      <c r="AB231" s="2">
        <f t="shared" si="57"/>
        <v>18.516849999999998</v>
      </c>
    </row>
    <row r="232" spans="1:28" ht="15">
      <c r="A232" s="30" t="str">
        <f t="shared" si="45"/>
        <v>Row Cond (Plant)42'</v>
      </c>
      <c r="B232" s="47" t="s">
        <v>136</v>
      </c>
      <c r="C232" s="47" t="s">
        <v>96</v>
      </c>
      <c r="D232" s="49">
        <v>42</v>
      </c>
      <c r="E232" s="3">
        <v>4.75</v>
      </c>
      <c r="F232" s="3">
        <v>0.85</v>
      </c>
      <c r="G232" s="84">
        <f t="shared" si="58"/>
        <v>0.048651039363113664</v>
      </c>
      <c r="H232" s="150">
        <v>16495</v>
      </c>
      <c r="I232" s="150">
        <v>30</v>
      </c>
      <c r="J232" s="150">
        <v>25</v>
      </c>
      <c r="K232" s="150">
        <v>10</v>
      </c>
      <c r="L232" s="150">
        <v>100</v>
      </c>
      <c r="M232" s="48">
        <v>0</v>
      </c>
      <c r="N232" s="34">
        <f t="shared" si="46"/>
        <v>1000</v>
      </c>
      <c r="O232" s="28">
        <v>1</v>
      </c>
      <c r="P232" s="41">
        <v>0.27</v>
      </c>
      <c r="Q232" s="41">
        <v>1.4</v>
      </c>
      <c r="R232" s="31">
        <f t="shared" si="47"/>
        <v>177.30300001355843</v>
      </c>
      <c r="S232" s="31">
        <f t="shared" si="48"/>
        <v>1.7730300001355843</v>
      </c>
      <c r="T232" s="32">
        <f t="shared" si="49"/>
        <v>412.375</v>
      </c>
      <c r="U232" s="32">
        <f t="shared" si="50"/>
        <v>4.12375</v>
      </c>
      <c r="V232" s="2">
        <f t="shared" si="51"/>
        <v>4948.5</v>
      </c>
      <c r="W232" s="2">
        <f t="shared" si="52"/>
        <v>1154.65</v>
      </c>
      <c r="X232" s="2">
        <f t="shared" si="53"/>
        <v>10721.75</v>
      </c>
      <c r="Y232" s="2">
        <f t="shared" si="54"/>
        <v>964.9575</v>
      </c>
      <c r="Z232" s="2">
        <f t="shared" si="55"/>
        <v>257.322</v>
      </c>
      <c r="AA232" s="2">
        <f t="shared" si="56"/>
        <v>2376.9295</v>
      </c>
      <c r="AB232" s="2">
        <f t="shared" si="57"/>
        <v>23.769295000000003</v>
      </c>
    </row>
    <row r="233" spans="1:28" ht="15">
      <c r="A233" s="30" t="str">
        <f t="shared" si="45"/>
        <v>RT Cult (Early)12R-30</v>
      </c>
      <c r="B233" s="47" t="s">
        <v>220</v>
      </c>
      <c r="C233" s="47" t="s">
        <v>213</v>
      </c>
      <c r="D233" s="49">
        <v>30</v>
      </c>
      <c r="E233" s="3">
        <v>5</v>
      </c>
      <c r="F233" s="3">
        <v>0.8</v>
      </c>
      <c r="G233" s="84">
        <f t="shared" si="58"/>
        <v>0.06875</v>
      </c>
      <c r="H233" s="150">
        <v>29291</v>
      </c>
      <c r="I233" s="150">
        <v>25</v>
      </c>
      <c r="J233" s="150">
        <v>115</v>
      </c>
      <c r="K233" s="150">
        <v>12</v>
      </c>
      <c r="L233" s="150">
        <v>200</v>
      </c>
      <c r="M233" s="48">
        <v>0</v>
      </c>
      <c r="N233" s="34">
        <f t="shared" si="46"/>
        <v>2400</v>
      </c>
      <c r="O233" s="28">
        <v>1</v>
      </c>
      <c r="P233" s="41">
        <v>0.27</v>
      </c>
      <c r="Q233" s="41">
        <v>1.4</v>
      </c>
      <c r="R233" s="31">
        <f t="shared" si="47"/>
        <v>830.8831599229402</v>
      </c>
      <c r="S233" s="31">
        <f t="shared" si="48"/>
        <v>4.154415799614701</v>
      </c>
      <c r="T233" s="32">
        <f t="shared" si="49"/>
        <v>2807.054166666667</v>
      </c>
      <c r="U233" s="32">
        <f t="shared" si="50"/>
        <v>14.035270833333334</v>
      </c>
      <c r="V233" s="2">
        <f t="shared" si="51"/>
        <v>7322.75</v>
      </c>
      <c r="W233" s="2">
        <f t="shared" si="52"/>
        <v>1830.6875</v>
      </c>
      <c r="X233" s="2">
        <f t="shared" si="53"/>
        <v>18306.875</v>
      </c>
      <c r="Y233" s="2">
        <f t="shared" si="54"/>
        <v>1647.6187499999999</v>
      </c>
      <c r="Z233" s="2">
        <f t="shared" si="55"/>
        <v>439.365</v>
      </c>
      <c r="AA233" s="2">
        <f t="shared" si="56"/>
        <v>3917.67125</v>
      </c>
      <c r="AB233" s="2">
        <f t="shared" si="57"/>
        <v>19.58835625</v>
      </c>
    </row>
    <row r="234" spans="1:28" ht="15">
      <c r="A234" s="30" t="str">
        <f t="shared" si="45"/>
        <v>RT Cult (Early)8R-30</v>
      </c>
      <c r="B234" s="47" t="s">
        <v>220</v>
      </c>
      <c r="C234" s="47" t="s">
        <v>101</v>
      </c>
      <c r="D234" s="49">
        <v>20</v>
      </c>
      <c r="E234" s="3">
        <v>5</v>
      </c>
      <c r="F234" s="3">
        <v>0.8</v>
      </c>
      <c r="G234" s="84">
        <f t="shared" si="58"/>
        <v>0.103125</v>
      </c>
      <c r="H234" s="150">
        <v>20284</v>
      </c>
      <c r="I234" s="150">
        <v>25</v>
      </c>
      <c r="J234" s="150">
        <v>115</v>
      </c>
      <c r="K234" s="150">
        <v>12</v>
      </c>
      <c r="L234" s="150">
        <v>200</v>
      </c>
      <c r="M234" s="48">
        <v>0</v>
      </c>
      <c r="N234" s="34">
        <f t="shared" si="46"/>
        <v>2400</v>
      </c>
      <c r="O234" s="28">
        <v>1</v>
      </c>
      <c r="P234" s="41">
        <v>0.27</v>
      </c>
      <c r="Q234" s="41">
        <v>1.4</v>
      </c>
      <c r="R234" s="31">
        <f t="shared" si="47"/>
        <v>575.3860918328811</v>
      </c>
      <c r="S234" s="31">
        <f t="shared" si="48"/>
        <v>2.8769304591644054</v>
      </c>
      <c r="T234" s="32">
        <f t="shared" si="49"/>
        <v>1943.8833333333332</v>
      </c>
      <c r="U234" s="32">
        <f t="shared" si="50"/>
        <v>9.719416666666666</v>
      </c>
      <c r="V234" s="2">
        <f t="shared" si="51"/>
        <v>5071</v>
      </c>
      <c r="W234" s="2">
        <f t="shared" si="52"/>
        <v>1267.75</v>
      </c>
      <c r="X234" s="2">
        <f t="shared" si="53"/>
        <v>12677.5</v>
      </c>
      <c r="Y234" s="2">
        <f t="shared" si="54"/>
        <v>1140.975</v>
      </c>
      <c r="Z234" s="2">
        <f t="shared" si="55"/>
        <v>304.26</v>
      </c>
      <c r="AA234" s="2">
        <f t="shared" si="56"/>
        <v>2712.9849999999997</v>
      </c>
      <c r="AB234" s="2">
        <f t="shared" si="57"/>
        <v>13.564924999999999</v>
      </c>
    </row>
    <row r="235" spans="1:28" ht="15">
      <c r="A235" s="30" t="str">
        <f t="shared" si="45"/>
        <v>RT Cult (Late)12R-30</v>
      </c>
      <c r="B235" s="47" t="s">
        <v>221</v>
      </c>
      <c r="C235" s="47" t="s">
        <v>213</v>
      </c>
      <c r="D235" s="49">
        <v>30</v>
      </c>
      <c r="E235" s="3">
        <v>4</v>
      </c>
      <c r="F235" s="3">
        <v>0.8</v>
      </c>
      <c r="G235" s="84">
        <f t="shared" si="58"/>
        <v>0.0859375</v>
      </c>
      <c r="H235" s="150">
        <v>29291</v>
      </c>
      <c r="I235" s="150">
        <v>25</v>
      </c>
      <c r="J235" s="150">
        <v>115</v>
      </c>
      <c r="K235" s="150">
        <v>12</v>
      </c>
      <c r="L235" s="150">
        <v>200</v>
      </c>
      <c r="M235" s="48">
        <v>0</v>
      </c>
      <c r="N235" s="34">
        <f t="shared" si="46"/>
        <v>2400</v>
      </c>
      <c r="O235" s="28">
        <v>1</v>
      </c>
      <c r="P235" s="41">
        <v>0.27</v>
      </c>
      <c r="Q235" s="41">
        <v>1.4</v>
      </c>
      <c r="R235" s="31">
        <f t="shared" si="47"/>
        <v>830.8831599229402</v>
      </c>
      <c r="S235" s="31">
        <f t="shared" si="48"/>
        <v>4.154415799614701</v>
      </c>
      <c r="T235" s="32">
        <f t="shared" si="49"/>
        <v>2807.054166666667</v>
      </c>
      <c r="U235" s="32">
        <f t="shared" si="50"/>
        <v>14.035270833333334</v>
      </c>
      <c r="V235" s="2">
        <f t="shared" si="51"/>
        <v>7322.75</v>
      </c>
      <c r="W235" s="2">
        <f t="shared" si="52"/>
        <v>1830.6875</v>
      </c>
      <c r="X235" s="2">
        <f t="shared" si="53"/>
        <v>18306.875</v>
      </c>
      <c r="Y235" s="2">
        <f t="shared" si="54"/>
        <v>1647.6187499999999</v>
      </c>
      <c r="Z235" s="2">
        <f t="shared" si="55"/>
        <v>439.365</v>
      </c>
      <c r="AA235" s="2">
        <f t="shared" si="56"/>
        <v>3917.67125</v>
      </c>
      <c r="AB235" s="2">
        <f t="shared" si="57"/>
        <v>19.58835625</v>
      </c>
    </row>
    <row r="236" spans="1:28" ht="15">
      <c r="A236" s="30" t="str">
        <f t="shared" si="45"/>
        <v>RT Cult (Late)8R-30</v>
      </c>
      <c r="B236" s="47" t="s">
        <v>221</v>
      </c>
      <c r="C236" s="47" t="s">
        <v>101</v>
      </c>
      <c r="D236" s="49">
        <v>20</v>
      </c>
      <c r="E236" s="3">
        <v>4</v>
      </c>
      <c r="F236" s="3">
        <v>0.8</v>
      </c>
      <c r="G236" s="84">
        <f t="shared" si="58"/>
        <v>0.12890625</v>
      </c>
      <c r="H236" s="150">
        <v>20284</v>
      </c>
      <c r="I236" s="150">
        <v>25</v>
      </c>
      <c r="J236" s="150">
        <v>115</v>
      </c>
      <c r="K236" s="150">
        <v>12</v>
      </c>
      <c r="L236" s="150">
        <v>200</v>
      </c>
      <c r="M236" s="48">
        <v>0</v>
      </c>
      <c r="N236" s="34">
        <f t="shared" si="46"/>
        <v>2400</v>
      </c>
      <c r="O236" s="28">
        <v>1</v>
      </c>
      <c r="P236" s="41">
        <v>0.27</v>
      </c>
      <c r="Q236" s="41">
        <v>1.4</v>
      </c>
      <c r="R236" s="31">
        <f t="shared" si="47"/>
        <v>575.3860918328811</v>
      </c>
      <c r="S236" s="31">
        <f t="shared" si="48"/>
        <v>2.8769304591644054</v>
      </c>
      <c r="T236" s="32">
        <f t="shared" si="49"/>
        <v>1943.8833333333332</v>
      </c>
      <c r="U236" s="32">
        <f t="shared" si="50"/>
        <v>9.719416666666666</v>
      </c>
      <c r="V236" s="2">
        <f t="shared" si="51"/>
        <v>5071</v>
      </c>
      <c r="W236" s="2">
        <f t="shared" si="52"/>
        <v>1267.75</v>
      </c>
      <c r="X236" s="2">
        <f t="shared" si="53"/>
        <v>12677.5</v>
      </c>
      <c r="Y236" s="2">
        <f t="shared" si="54"/>
        <v>1140.975</v>
      </c>
      <c r="Z236" s="2">
        <f t="shared" si="55"/>
        <v>304.26</v>
      </c>
      <c r="AA236" s="2">
        <f t="shared" si="56"/>
        <v>2712.9849999999997</v>
      </c>
      <c r="AB236" s="2">
        <f t="shared" si="57"/>
        <v>13.564924999999999</v>
      </c>
    </row>
    <row r="237" spans="1:28" ht="15">
      <c r="A237" s="30" t="str">
        <f t="shared" si="45"/>
        <v>RT Cult + PD (Early)12R-30</v>
      </c>
      <c r="B237" s="47" t="s">
        <v>218</v>
      </c>
      <c r="C237" s="47" t="s">
        <v>213</v>
      </c>
      <c r="D237" s="49">
        <v>30</v>
      </c>
      <c r="E237" s="3">
        <v>5</v>
      </c>
      <c r="F237" s="3">
        <v>0.8</v>
      </c>
      <c r="G237" s="84">
        <f aca="true" t="shared" si="59" ref="G237:G268">1/((D237*E237*5280*F237)/43560)</f>
        <v>0.06875</v>
      </c>
      <c r="H237" s="150">
        <v>34660</v>
      </c>
      <c r="I237" s="150">
        <v>25</v>
      </c>
      <c r="J237" s="150">
        <v>115</v>
      </c>
      <c r="K237" s="150">
        <v>12</v>
      </c>
      <c r="L237" s="150">
        <v>200</v>
      </c>
      <c r="M237" s="48">
        <v>0</v>
      </c>
      <c r="N237" s="34">
        <f t="shared" si="46"/>
        <v>2400</v>
      </c>
      <c r="O237" s="28">
        <v>1</v>
      </c>
      <c r="P237" s="41">
        <v>0.27</v>
      </c>
      <c r="Q237" s="41">
        <v>1.4</v>
      </c>
      <c r="R237" s="31">
        <f t="shared" si="47"/>
        <v>983.1828999668536</v>
      </c>
      <c r="S237" s="31">
        <f t="shared" si="48"/>
        <v>4.915914499834268</v>
      </c>
      <c r="T237" s="32">
        <f t="shared" si="49"/>
        <v>3321.5833333333335</v>
      </c>
      <c r="U237" s="32">
        <f t="shared" si="50"/>
        <v>16.607916666666668</v>
      </c>
      <c r="V237" s="2">
        <f t="shared" si="51"/>
        <v>8665</v>
      </c>
      <c r="W237" s="2">
        <f t="shared" si="52"/>
        <v>2166.25</v>
      </c>
      <c r="X237" s="2">
        <f t="shared" si="53"/>
        <v>21662.5</v>
      </c>
      <c r="Y237" s="2">
        <f t="shared" si="54"/>
        <v>1949.625</v>
      </c>
      <c r="Z237" s="2">
        <f t="shared" si="55"/>
        <v>519.9</v>
      </c>
      <c r="AA237" s="2">
        <f t="shared" si="56"/>
        <v>4635.775</v>
      </c>
      <c r="AB237" s="2">
        <f t="shared" si="57"/>
        <v>23.178874999999998</v>
      </c>
    </row>
    <row r="238" spans="1:28" ht="15">
      <c r="A238" s="30" t="str">
        <f t="shared" si="45"/>
        <v>RT Cult + PD (Early)8R-30</v>
      </c>
      <c r="B238" s="47" t="s">
        <v>218</v>
      </c>
      <c r="C238" s="47" t="s">
        <v>101</v>
      </c>
      <c r="D238" s="49">
        <v>20</v>
      </c>
      <c r="E238" s="3">
        <v>5</v>
      </c>
      <c r="F238" s="3">
        <v>0.8</v>
      </c>
      <c r="G238" s="84">
        <f t="shared" si="59"/>
        <v>0.103125</v>
      </c>
      <c r="H238" s="150">
        <v>25653</v>
      </c>
      <c r="I238" s="150">
        <v>25</v>
      </c>
      <c r="J238" s="150">
        <v>115</v>
      </c>
      <c r="K238" s="150">
        <v>12</v>
      </c>
      <c r="L238" s="150">
        <v>200</v>
      </c>
      <c r="M238" s="48">
        <v>0</v>
      </c>
      <c r="N238" s="34">
        <f t="shared" si="46"/>
        <v>2400</v>
      </c>
      <c r="O238" s="28">
        <v>1</v>
      </c>
      <c r="P238" s="41">
        <v>0.27</v>
      </c>
      <c r="Q238" s="41">
        <v>1.4</v>
      </c>
      <c r="R238" s="31">
        <f t="shared" si="47"/>
        <v>727.6858318767944</v>
      </c>
      <c r="S238" s="31">
        <f t="shared" si="48"/>
        <v>3.638429159383972</v>
      </c>
      <c r="T238" s="32">
        <f t="shared" si="49"/>
        <v>2458.4125</v>
      </c>
      <c r="U238" s="32">
        <f t="shared" si="50"/>
        <v>12.2920625</v>
      </c>
      <c r="V238" s="2">
        <f t="shared" si="51"/>
        <v>6413.25</v>
      </c>
      <c r="W238" s="2">
        <f t="shared" si="52"/>
        <v>1603.3125</v>
      </c>
      <c r="X238" s="2">
        <f t="shared" si="53"/>
        <v>16033.125</v>
      </c>
      <c r="Y238" s="2">
        <f t="shared" si="54"/>
        <v>1442.98125</v>
      </c>
      <c r="Z238" s="2">
        <f t="shared" si="55"/>
        <v>384.795</v>
      </c>
      <c r="AA238" s="2">
        <f t="shared" si="56"/>
        <v>3431.08875</v>
      </c>
      <c r="AB238" s="2">
        <f t="shared" si="57"/>
        <v>17.15544375</v>
      </c>
    </row>
    <row r="239" spans="1:28" ht="15">
      <c r="A239" s="30" t="str">
        <f t="shared" si="45"/>
        <v>RT Cult + PD (Late)12R-30</v>
      </c>
      <c r="B239" s="47" t="s">
        <v>219</v>
      </c>
      <c r="C239" s="47" t="s">
        <v>213</v>
      </c>
      <c r="D239" s="49">
        <v>30</v>
      </c>
      <c r="E239" s="3">
        <v>4</v>
      </c>
      <c r="F239" s="3">
        <v>0.8</v>
      </c>
      <c r="G239" s="84">
        <f t="shared" si="59"/>
        <v>0.0859375</v>
      </c>
      <c r="H239" s="150">
        <v>34660</v>
      </c>
      <c r="I239" s="150">
        <v>25</v>
      </c>
      <c r="J239" s="150">
        <v>115</v>
      </c>
      <c r="K239" s="150">
        <v>12</v>
      </c>
      <c r="L239" s="150">
        <v>200</v>
      </c>
      <c r="M239" s="48">
        <v>0</v>
      </c>
      <c r="N239" s="34">
        <f t="shared" si="46"/>
        <v>2400</v>
      </c>
      <c r="O239" s="28">
        <v>1</v>
      </c>
      <c r="P239" s="41">
        <v>0.27</v>
      </c>
      <c r="Q239" s="41">
        <v>1.4</v>
      </c>
      <c r="R239" s="31">
        <f t="shared" si="47"/>
        <v>983.1828999668536</v>
      </c>
      <c r="S239" s="31">
        <f t="shared" si="48"/>
        <v>4.915914499834268</v>
      </c>
      <c r="T239" s="32">
        <f t="shared" si="49"/>
        <v>3321.5833333333335</v>
      </c>
      <c r="U239" s="32">
        <f t="shared" si="50"/>
        <v>16.607916666666668</v>
      </c>
      <c r="V239" s="2">
        <f t="shared" si="51"/>
        <v>8665</v>
      </c>
      <c r="W239" s="2">
        <f t="shared" si="52"/>
        <v>2166.25</v>
      </c>
      <c r="X239" s="2">
        <f t="shared" si="53"/>
        <v>21662.5</v>
      </c>
      <c r="Y239" s="2">
        <f t="shared" si="54"/>
        <v>1949.625</v>
      </c>
      <c r="Z239" s="2">
        <f t="shared" si="55"/>
        <v>519.9</v>
      </c>
      <c r="AA239" s="2">
        <f t="shared" si="56"/>
        <v>4635.775</v>
      </c>
      <c r="AB239" s="2">
        <f t="shared" si="57"/>
        <v>23.178874999999998</v>
      </c>
    </row>
    <row r="240" spans="1:28" ht="15">
      <c r="A240" s="30" t="str">
        <f t="shared" si="45"/>
        <v>RT Cult + PD (Late)8R-30</v>
      </c>
      <c r="B240" s="47" t="s">
        <v>219</v>
      </c>
      <c r="C240" s="47" t="s">
        <v>101</v>
      </c>
      <c r="D240" s="49">
        <v>20</v>
      </c>
      <c r="E240" s="3">
        <v>4</v>
      </c>
      <c r="F240" s="3">
        <v>0.8</v>
      </c>
      <c r="G240" s="84">
        <f t="shared" si="59"/>
        <v>0.12890625</v>
      </c>
      <c r="H240" s="150">
        <v>25653</v>
      </c>
      <c r="I240" s="150">
        <v>25</v>
      </c>
      <c r="J240" s="150">
        <v>115</v>
      </c>
      <c r="K240" s="150">
        <v>12</v>
      </c>
      <c r="L240" s="150">
        <v>200</v>
      </c>
      <c r="M240" s="48">
        <v>0</v>
      </c>
      <c r="N240" s="34">
        <f t="shared" si="46"/>
        <v>2400</v>
      </c>
      <c r="O240" s="28">
        <v>1</v>
      </c>
      <c r="P240" s="41">
        <v>0.27</v>
      </c>
      <c r="Q240" s="41">
        <v>1.4</v>
      </c>
      <c r="R240" s="31">
        <f t="shared" si="47"/>
        <v>727.6858318767944</v>
      </c>
      <c r="S240" s="31">
        <f t="shared" si="48"/>
        <v>3.638429159383972</v>
      </c>
      <c r="T240" s="32">
        <f t="shared" si="49"/>
        <v>2458.4125</v>
      </c>
      <c r="U240" s="32">
        <f t="shared" si="50"/>
        <v>12.2920625</v>
      </c>
      <c r="V240" s="2">
        <f t="shared" si="51"/>
        <v>6413.25</v>
      </c>
      <c r="W240" s="2">
        <f t="shared" si="52"/>
        <v>1603.3125</v>
      </c>
      <c r="X240" s="2">
        <f t="shared" si="53"/>
        <v>16033.125</v>
      </c>
      <c r="Y240" s="2">
        <f t="shared" si="54"/>
        <v>1442.98125</v>
      </c>
      <c r="Z240" s="2">
        <f t="shared" si="55"/>
        <v>384.795</v>
      </c>
      <c r="AA240" s="2">
        <f t="shared" si="56"/>
        <v>3431.08875</v>
      </c>
      <c r="AB240" s="2">
        <f t="shared" si="57"/>
        <v>17.15544375</v>
      </c>
    </row>
    <row r="241" spans="1:28" ht="15">
      <c r="A241" s="30" t="str">
        <f t="shared" si="45"/>
        <v>Spin Spreader5 ton</v>
      </c>
      <c r="B241" s="47" t="s">
        <v>137</v>
      </c>
      <c r="C241" s="47" t="s">
        <v>197</v>
      </c>
      <c r="D241" s="49">
        <v>40</v>
      </c>
      <c r="E241" s="3">
        <v>7</v>
      </c>
      <c r="F241" s="3">
        <v>0.7</v>
      </c>
      <c r="G241" s="84">
        <f t="shared" si="59"/>
        <v>0.04209183673469388</v>
      </c>
      <c r="H241" s="150">
        <v>10835</v>
      </c>
      <c r="I241" s="150">
        <v>40</v>
      </c>
      <c r="J241" s="150">
        <v>45</v>
      </c>
      <c r="K241" s="150">
        <v>8</v>
      </c>
      <c r="L241" s="150">
        <v>100</v>
      </c>
      <c r="M241" s="48">
        <v>0</v>
      </c>
      <c r="N241" s="34">
        <f t="shared" si="46"/>
        <v>800</v>
      </c>
      <c r="O241" s="28">
        <v>1</v>
      </c>
      <c r="P241" s="41">
        <v>0.27</v>
      </c>
      <c r="Q241" s="41">
        <v>1.4</v>
      </c>
      <c r="R241" s="31">
        <f t="shared" si="47"/>
        <v>116.46426220957294</v>
      </c>
      <c r="S241" s="31">
        <f t="shared" si="48"/>
        <v>1.1646426220957293</v>
      </c>
      <c r="T241" s="32">
        <f t="shared" si="49"/>
        <v>609.46875</v>
      </c>
      <c r="U241" s="32">
        <f t="shared" si="50"/>
        <v>6.0946875</v>
      </c>
      <c r="V241" s="2">
        <f t="shared" si="51"/>
        <v>4334</v>
      </c>
      <c r="W241" s="2">
        <f t="shared" si="52"/>
        <v>812.625</v>
      </c>
      <c r="X241" s="2">
        <f t="shared" si="53"/>
        <v>7584.5</v>
      </c>
      <c r="Y241" s="2">
        <f t="shared" si="54"/>
        <v>682.605</v>
      </c>
      <c r="Z241" s="2">
        <f t="shared" si="55"/>
        <v>182.028</v>
      </c>
      <c r="AA241" s="2">
        <f t="shared" si="56"/>
        <v>1677.258</v>
      </c>
      <c r="AB241" s="2">
        <f t="shared" si="57"/>
        <v>16.77258</v>
      </c>
    </row>
    <row r="242" spans="1:28" ht="15">
      <c r="A242" s="30" t="str">
        <f t="shared" si="45"/>
        <v>Spin Spreader5 ton</v>
      </c>
      <c r="B242" s="47" t="s">
        <v>137</v>
      </c>
      <c r="C242" s="47" t="s">
        <v>197</v>
      </c>
      <c r="D242" s="49">
        <v>40</v>
      </c>
      <c r="E242" s="3">
        <v>7</v>
      </c>
      <c r="F242" s="3">
        <v>0.7</v>
      </c>
      <c r="G242" s="84">
        <f t="shared" si="59"/>
        <v>0.04209183673469388</v>
      </c>
      <c r="H242" s="150">
        <v>10835</v>
      </c>
      <c r="I242" s="150">
        <v>40</v>
      </c>
      <c r="J242" s="150">
        <v>45</v>
      </c>
      <c r="K242" s="150">
        <v>8</v>
      </c>
      <c r="L242" s="150">
        <v>100</v>
      </c>
      <c r="M242" s="48">
        <v>0</v>
      </c>
      <c r="N242" s="34">
        <f t="shared" si="46"/>
        <v>800</v>
      </c>
      <c r="O242" s="28">
        <v>1</v>
      </c>
      <c r="P242" s="41">
        <v>0.27</v>
      </c>
      <c r="Q242" s="41">
        <v>1.4</v>
      </c>
      <c r="R242" s="31">
        <f t="shared" si="47"/>
        <v>116.46426220957294</v>
      </c>
      <c r="S242" s="31">
        <f t="shared" si="48"/>
        <v>1.1646426220957293</v>
      </c>
      <c r="T242" s="32">
        <f t="shared" si="49"/>
        <v>609.46875</v>
      </c>
      <c r="U242" s="32">
        <f t="shared" si="50"/>
        <v>6.0946875</v>
      </c>
      <c r="V242" s="2">
        <f t="shared" si="51"/>
        <v>4334</v>
      </c>
      <c r="W242" s="2">
        <f t="shared" si="52"/>
        <v>812.625</v>
      </c>
      <c r="X242" s="2">
        <f t="shared" si="53"/>
        <v>7584.5</v>
      </c>
      <c r="Y242" s="2">
        <f t="shared" si="54"/>
        <v>682.605</v>
      </c>
      <c r="Z242" s="2">
        <f t="shared" si="55"/>
        <v>182.028</v>
      </c>
      <c r="AA242" s="2">
        <f t="shared" si="56"/>
        <v>1677.258</v>
      </c>
      <c r="AB242" s="2">
        <f t="shared" si="57"/>
        <v>16.77258</v>
      </c>
    </row>
    <row r="243" spans="1:28" ht="15">
      <c r="A243" s="30" t="str">
        <f t="shared" si="45"/>
        <v>Spray (Band)27'</v>
      </c>
      <c r="B243" s="47" t="s">
        <v>138</v>
      </c>
      <c r="C243" s="47" t="s">
        <v>126</v>
      </c>
      <c r="D243" s="49">
        <v>27</v>
      </c>
      <c r="E243" s="3">
        <v>7.5</v>
      </c>
      <c r="F243" s="3">
        <v>0.65</v>
      </c>
      <c r="G243" s="84">
        <f t="shared" si="59"/>
        <v>0.06267806267806268</v>
      </c>
      <c r="H243" s="150">
        <v>5369</v>
      </c>
      <c r="I243" s="150">
        <v>40</v>
      </c>
      <c r="J243" s="150">
        <v>75</v>
      </c>
      <c r="K243" s="150">
        <v>8</v>
      </c>
      <c r="L243" s="150">
        <v>200</v>
      </c>
      <c r="M243" s="48">
        <v>0</v>
      </c>
      <c r="N243" s="34">
        <f t="shared" si="46"/>
        <v>1600</v>
      </c>
      <c r="O243" s="28">
        <v>1</v>
      </c>
      <c r="P243" s="41">
        <v>0.27</v>
      </c>
      <c r="Q243" s="41">
        <v>1.4</v>
      </c>
      <c r="R243" s="31">
        <f t="shared" si="47"/>
        <v>152.29974004391335</v>
      </c>
      <c r="S243" s="31">
        <f t="shared" si="48"/>
        <v>0.7614987002195668</v>
      </c>
      <c r="T243" s="32">
        <f t="shared" si="49"/>
        <v>503.34375</v>
      </c>
      <c r="U243" s="32">
        <f t="shared" si="50"/>
        <v>2.51671875</v>
      </c>
      <c r="V243" s="2">
        <f t="shared" si="51"/>
        <v>2147.6</v>
      </c>
      <c r="W243" s="2">
        <f t="shared" si="52"/>
        <v>402.675</v>
      </c>
      <c r="X243" s="2">
        <f t="shared" si="53"/>
        <v>3758.3</v>
      </c>
      <c r="Y243" s="2">
        <f t="shared" si="54"/>
        <v>338.247</v>
      </c>
      <c r="Z243" s="2">
        <f t="shared" si="55"/>
        <v>90.1992</v>
      </c>
      <c r="AA243" s="2">
        <f t="shared" si="56"/>
        <v>831.1212</v>
      </c>
      <c r="AB243" s="2">
        <f t="shared" si="57"/>
        <v>4.155606000000001</v>
      </c>
    </row>
    <row r="244" spans="1:28" ht="15">
      <c r="A244" s="30" t="str">
        <f t="shared" si="45"/>
        <v>Spray (Band)40'</v>
      </c>
      <c r="B244" s="47" t="s">
        <v>138</v>
      </c>
      <c r="C244" s="47" t="s">
        <v>122</v>
      </c>
      <c r="D244" s="49">
        <v>40</v>
      </c>
      <c r="E244" s="3">
        <v>7.5</v>
      </c>
      <c r="F244" s="3">
        <v>0.65</v>
      </c>
      <c r="G244" s="84">
        <f t="shared" si="59"/>
        <v>0.04230769230769231</v>
      </c>
      <c r="H244" s="150">
        <v>5572</v>
      </c>
      <c r="I244" s="150">
        <v>40</v>
      </c>
      <c r="J244" s="150">
        <v>75</v>
      </c>
      <c r="K244" s="150">
        <v>8</v>
      </c>
      <c r="L244" s="150">
        <v>200</v>
      </c>
      <c r="M244" s="48">
        <v>0</v>
      </c>
      <c r="N244" s="34">
        <f t="shared" si="46"/>
        <v>1600</v>
      </c>
      <c r="O244" s="28">
        <v>1</v>
      </c>
      <c r="P244" s="41">
        <v>0.27</v>
      </c>
      <c r="Q244" s="41">
        <v>1.4</v>
      </c>
      <c r="R244" s="31">
        <f t="shared" si="47"/>
        <v>158.05813960228818</v>
      </c>
      <c r="S244" s="31">
        <f t="shared" si="48"/>
        <v>0.7902906980114409</v>
      </c>
      <c r="T244" s="32">
        <f t="shared" si="49"/>
        <v>522.375</v>
      </c>
      <c r="U244" s="32">
        <f t="shared" si="50"/>
        <v>2.611875</v>
      </c>
      <c r="V244" s="2">
        <f t="shared" si="51"/>
        <v>2228.8</v>
      </c>
      <c r="W244" s="2">
        <f t="shared" si="52"/>
        <v>417.9</v>
      </c>
      <c r="X244" s="2">
        <f t="shared" si="53"/>
        <v>3900.4</v>
      </c>
      <c r="Y244" s="2">
        <f t="shared" si="54"/>
        <v>351.036</v>
      </c>
      <c r="Z244" s="2">
        <f t="shared" si="55"/>
        <v>93.6096</v>
      </c>
      <c r="AA244" s="2">
        <f t="shared" si="56"/>
        <v>862.5455999999999</v>
      </c>
      <c r="AB244" s="2">
        <f t="shared" si="57"/>
        <v>4.312728</v>
      </c>
    </row>
    <row r="245" spans="1:28" ht="15">
      <c r="A245" s="30" t="str">
        <f t="shared" si="45"/>
        <v>Spray (Band)50'</v>
      </c>
      <c r="B245" s="47" t="s">
        <v>138</v>
      </c>
      <c r="C245" s="47" t="s">
        <v>110</v>
      </c>
      <c r="D245" s="49">
        <v>50</v>
      </c>
      <c r="E245" s="3">
        <v>7.5</v>
      </c>
      <c r="F245" s="3">
        <v>0.65</v>
      </c>
      <c r="G245" s="84">
        <f t="shared" si="59"/>
        <v>0.033846153846153845</v>
      </c>
      <c r="H245" s="150">
        <v>5461</v>
      </c>
      <c r="I245" s="150">
        <v>40</v>
      </c>
      <c r="J245" s="150">
        <v>75</v>
      </c>
      <c r="K245" s="150">
        <v>8</v>
      </c>
      <c r="L245" s="150">
        <v>200</v>
      </c>
      <c r="M245" s="48">
        <v>0</v>
      </c>
      <c r="N245" s="34">
        <f t="shared" si="46"/>
        <v>1600</v>
      </c>
      <c r="O245" s="28">
        <v>1</v>
      </c>
      <c r="P245" s="41">
        <v>0.27</v>
      </c>
      <c r="Q245" s="41">
        <v>1.4</v>
      </c>
      <c r="R245" s="31">
        <f t="shared" si="47"/>
        <v>154.90945807036894</v>
      </c>
      <c r="S245" s="31">
        <f t="shared" si="48"/>
        <v>0.7745472903518447</v>
      </c>
      <c r="T245" s="32">
        <f t="shared" si="49"/>
        <v>511.96875</v>
      </c>
      <c r="U245" s="32">
        <f t="shared" si="50"/>
        <v>2.55984375</v>
      </c>
      <c r="V245" s="2">
        <f t="shared" si="51"/>
        <v>2184.4</v>
      </c>
      <c r="W245" s="2">
        <f t="shared" si="52"/>
        <v>409.575</v>
      </c>
      <c r="X245" s="2">
        <f t="shared" si="53"/>
        <v>3822.7</v>
      </c>
      <c r="Y245" s="2">
        <f t="shared" si="54"/>
        <v>344.04299999999995</v>
      </c>
      <c r="Z245" s="2">
        <f t="shared" si="55"/>
        <v>91.7448</v>
      </c>
      <c r="AA245" s="2">
        <f t="shared" si="56"/>
        <v>845.3627999999999</v>
      </c>
      <c r="AB245" s="2">
        <f t="shared" si="57"/>
        <v>4.226813999999999</v>
      </c>
    </row>
    <row r="246" spans="1:28" ht="15">
      <c r="A246" s="30" t="str">
        <f t="shared" si="45"/>
        <v>Spray (Band)53'</v>
      </c>
      <c r="B246" s="47" t="s">
        <v>138</v>
      </c>
      <c r="C246" s="47" t="s">
        <v>226</v>
      </c>
      <c r="D246" s="49">
        <v>53</v>
      </c>
      <c r="E246" s="3">
        <v>7.5</v>
      </c>
      <c r="F246" s="3">
        <v>0.65</v>
      </c>
      <c r="G246" s="84">
        <f t="shared" si="59"/>
        <v>0.031930333817126275</v>
      </c>
      <c r="H246" s="150">
        <v>6434</v>
      </c>
      <c r="I246" s="150">
        <v>40</v>
      </c>
      <c r="J246" s="150">
        <v>75</v>
      </c>
      <c r="K246" s="150">
        <v>8</v>
      </c>
      <c r="L246" s="150">
        <v>200</v>
      </c>
      <c r="M246" s="48">
        <v>0</v>
      </c>
      <c r="N246" s="34">
        <f t="shared" si="46"/>
        <v>1600</v>
      </c>
      <c r="O246" s="28">
        <v>1</v>
      </c>
      <c r="P246" s="41">
        <v>0.27</v>
      </c>
      <c r="Q246" s="41">
        <v>1.4</v>
      </c>
      <c r="R246" s="31">
        <f t="shared" si="47"/>
        <v>182.5100628501655</v>
      </c>
      <c r="S246" s="31">
        <f t="shared" si="48"/>
        <v>0.9125503142508274</v>
      </c>
      <c r="T246" s="32">
        <f t="shared" si="49"/>
        <v>603.1875</v>
      </c>
      <c r="U246" s="32">
        <f t="shared" si="50"/>
        <v>3.0159375</v>
      </c>
      <c r="V246" s="2">
        <f t="shared" si="51"/>
        <v>2573.6</v>
      </c>
      <c r="W246" s="2">
        <f t="shared" si="52"/>
        <v>482.55</v>
      </c>
      <c r="X246" s="2">
        <f t="shared" si="53"/>
        <v>4503.8</v>
      </c>
      <c r="Y246" s="2">
        <f t="shared" si="54"/>
        <v>405.342</v>
      </c>
      <c r="Z246" s="2">
        <f t="shared" si="55"/>
        <v>108.0912</v>
      </c>
      <c r="AA246" s="2">
        <f t="shared" si="56"/>
        <v>995.9831999999999</v>
      </c>
      <c r="AB246" s="2">
        <f t="shared" si="57"/>
        <v>4.979915999999999</v>
      </c>
    </row>
    <row r="247" spans="1:28" ht="15">
      <c r="A247" s="30" t="str">
        <f t="shared" si="45"/>
        <v>Spray (Band)60'</v>
      </c>
      <c r="B247" s="47" t="s">
        <v>138</v>
      </c>
      <c r="C247" s="47" t="s">
        <v>139</v>
      </c>
      <c r="D247" s="49">
        <v>60</v>
      </c>
      <c r="E247" s="3">
        <v>7.5</v>
      </c>
      <c r="F247" s="3">
        <v>0.65</v>
      </c>
      <c r="G247" s="84">
        <f t="shared" si="59"/>
        <v>0.028205128205128206</v>
      </c>
      <c r="H247" s="150">
        <v>7479</v>
      </c>
      <c r="I247" s="150">
        <v>40</v>
      </c>
      <c r="J247" s="150">
        <v>75</v>
      </c>
      <c r="K247" s="150">
        <v>8</v>
      </c>
      <c r="L247" s="150">
        <v>200</v>
      </c>
      <c r="M247" s="48">
        <v>0</v>
      </c>
      <c r="N247" s="34">
        <f t="shared" si="46"/>
        <v>1600</v>
      </c>
      <c r="O247" s="28">
        <v>1</v>
      </c>
      <c r="P247" s="41">
        <v>0.27</v>
      </c>
      <c r="Q247" s="41">
        <v>1.4</v>
      </c>
      <c r="R247" s="31">
        <f t="shared" si="47"/>
        <v>212.1530556506664</v>
      </c>
      <c r="S247" s="31">
        <f t="shared" si="48"/>
        <v>1.0607652782533321</v>
      </c>
      <c r="T247" s="32">
        <f t="shared" si="49"/>
        <v>701.15625</v>
      </c>
      <c r="U247" s="32">
        <f t="shared" si="50"/>
        <v>3.50578125</v>
      </c>
      <c r="V247" s="2">
        <f t="shared" si="51"/>
        <v>2991.6</v>
      </c>
      <c r="W247" s="2">
        <f t="shared" si="52"/>
        <v>560.925</v>
      </c>
      <c r="X247" s="2">
        <f t="shared" si="53"/>
        <v>5235.3</v>
      </c>
      <c r="Y247" s="2">
        <f t="shared" si="54"/>
        <v>471.177</v>
      </c>
      <c r="Z247" s="2">
        <f t="shared" si="55"/>
        <v>125.64720000000001</v>
      </c>
      <c r="AA247" s="2">
        <f t="shared" si="56"/>
        <v>1157.7492</v>
      </c>
      <c r="AB247" s="2">
        <f t="shared" si="57"/>
        <v>5.788746</v>
      </c>
    </row>
    <row r="248" spans="1:28" ht="15">
      <c r="A248" s="30" t="str">
        <f t="shared" si="45"/>
        <v>Spray (Bcast/HB)13' Rigid</v>
      </c>
      <c r="B248" s="47" t="s">
        <v>206</v>
      </c>
      <c r="C248" s="47" t="s">
        <v>248</v>
      </c>
      <c r="D248" s="49">
        <v>13</v>
      </c>
      <c r="E248" s="3">
        <v>7.5</v>
      </c>
      <c r="F248" s="3">
        <v>0.65</v>
      </c>
      <c r="G248" s="84">
        <f t="shared" si="59"/>
        <v>0.1301775147928994</v>
      </c>
      <c r="H248" s="150">
        <v>4339</v>
      </c>
      <c r="I248" s="150">
        <v>40</v>
      </c>
      <c r="J248" s="150">
        <v>75</v>
      </c>
      <c r="K248" s="150">
        <v>8</v>
      </c>
      <c r="L248" s="150">
        <v>200</v>
      </c>
      <c r="M248" s="48">
        <v>0</v>
      </c>
      <c r="N248" s="34">
        <f t="shared" si="46"/>
        <v>1600</v>
      </c>
      <c r="O248" s="28">
        <v>1</v>
      </c>
      <c r="P248" s="41">
        <v>0.27</v>
      </c>
      <c r="Q248" s="41">
        <v>1.4</v>
      </c>
      <c r="R248" s="31">
        <f t="shared" si="47"/>
        <v>123.08224474772582</v>
      </c>
      <c r="S248" s="31">
        <f t="shared" si="48"/>
        <v>0.6154112237386291</v>
      </c>
      <c r="T248" s="32">
        <f t="shared" si="49"/>
        <v>406.78125</v>
      </c>
      <c r="U248" s="32">
        <f t="shared" si="50"/>
        <v>2.03390625</v>
      </c>
      <c r="V248" s="2">
        <f t="shared" si="51"/>
        <v>1735.6</v>
      </c>
      <c r="W248" s="2">
        <f t="shared" si="52"/>
        <v>325.425</v>
      </c>
      <c r="X248" s="2">
        <f t="shared" si="53"/>
        <v>3037.3</v>
      </c>
      <c r="Y248" s="2">
        <f t="shared" si="54"/>
        <v>273.357</v>
      </c>
      <c r="Z248" s="2">
        <f t="shared" si="55"/>
        <v>72.8952</v>
      </c>
      <c r="AA248" s="2">
        <f t="shared" si="56"/>
        <v>671.6772000000001</v>
      </c>
      <c r="AB248" s="2">
        <f t="shared" si="57"/>
        <v>3.3583860000000003</v>
      </c>
    </row>
    <row r="249" spans="1:28" ht="15">
      <c r="A249" s="30" t="str">
        <f t="shared" si="45"/>
        <v>Spray (Bcast/HB)20' Rigid</v>
      </c>
      <c r="B249" s="47" t="s">
        <v>206</v>
      </c>
      <c r="C249" s="47" t="s">
        <v>247</v>
      </c>
      <c r="D249" s="49">
        <v>20</v>
      </c>
      <c r="E249" s="3">
        <v>7.5</v>
      </c>
      <c r="F249" s="3">
        <v>0.65</v>
      </c>
      <c r="G249" s="84">
        <f t="shared" si="59"/>
        <v>0.08461538461538462</v>
      </c>
      <c r="H249" s="150">
        <v>5106</v>
      </c>
      <c r="I249" s="150">
        <v>40</v>
      </c>
      <c r="J249" s="150">
        <v>75</v>
      </c>
      <c r="K249" s="150">
        <v>8</v>
      </c>
      <c r="L249" s="150">
        <v>200</v>
      </c>
      <c r="M249" s="48">
        <v>0</v>
      </c>
      <c r="N249" s="34">
        <f t="shared" si="46"/>
        <v>1600</v>
      </c>
      <c r="O249" s="28">
        <v>1</v>
      </c>
      <c r="P249" s="41">
        <v>0.27</v>
      </c>
      <c r="Q249" s="41">
        <v>1.4</v>
      </c>
      <c r="R249" s="31">
        <f t="shared" si="47"/>
        <v>144.8393504682849</v>
      </c>
      <c r="S249" s="31">
        <f t="shared" si="48"/>
        <v>0.7241967523414244</v>
      </c>
      <c r="T249" s="32">
        <f t="shared" si="49"/>
        <v>478.6875</v>
      </c>
      <c r="U249" s="32">
        <f t="shared" si="50"/>
        <v>2.3934375</v>
      </c>
      <c r="V249" s="2">
        <f t="shared" si="51"/>
        <v>2042.4</v>
      </c>
      <c r="W249" s="2">
        <f t="shared" si="52"/>
        <v>382.95</v>
      </c>
      <c r="X249" s="2">
        <f t="shared" si="53"/>
        <v>3574.2</v>
      </c>
      <c r="Y249" s="2">
        <f t="shared" si="54"/>
        <v>321.678</v>
      </c>
      <c r="Z249" s="2">
        <f t="shared" si="55"/>
        <v>85.7808</v>
      </c>
      <c r="AA249" s="2">
        <f t="shared" si="56"/>
        <v>790.4087999999999</v>
      </c>
      <c r="AB249" s="2">
        <f t="shared" si="57"/>
        <v>3.9520439999999994</v>
      </c>
    </row>
    <row r="250" spans="1:28" ht="15">
      <c r="A250" s="30" t="str">
        <f t="shared" si="45"/>
        <v>Spray (Bcast/HB)27' Fold</v>
      </c>
      <c r="B250" s="47" t="s">
        <v>206</v>
      </c>
      <c r="C250" s="47" t="s">
        <v>207</v>
      </c>
      <c r="D250" s="49">
        <v>27</v>
      </c>
      <c r="E250" s="3">
        <v>7.5</v>
      </c>
      <c r="F250" s="3">
        <v>0.65</v>
      </c>
      <c r="G250" s="84">
        <f t="shared" si="59"/>
        <v>0.06267806267806268</v>
      </c>
      <c r="H250" s="150">
        <v>8425</v>
      </c>
      <c r="I250" s="150">
        <v>40</v>
      </c>
      <c r="J250" s="150">
        <v>75</v>
      </c>
      <c r="K250" s="150">
        <v>8</v>
      </c>
      <c r="L250" s="150">
        <v>200</v>
      </c>
      <c r="M250" s="48">
        <v>0</v>
      </c>
      <c r="N250" s="34">
        <f t="shared" si="46"/>
        <v>1600</v>
      </c>
      <c r="O250" s="28">
        <v>1</v>
      </c>
      <c r="P250" s="41">
        <v>0.27</v>
      </c>
      <c r="Q250" s="41">
        <v>1.4</v>
      </c>
      <c r="R250" s="31">
        <f t="shared" si="47"/>
        <v>238.9877649226988</v>
      </c>
      <c r="S250" s="31">
        <f t="shared" si="48"/>
        <v>1.194938824613494</v>
      </c>
      <c r="T250" s="32">
        <f t="shared" si="49"/>
        <v>789.84375</v>
      </c>
      <c r="U250" s="32">
        <f t="shared" si="50"/>
        <v>3.94921875</v>
      </c>
      <c r="V250" s="2">
        <f t="shared" si="51"/>
        <v>3370</v>
      </c>
      <c r="W250" s="2">
        <f t="shared" si="52"/>
        <v>631.875</v>
      </c>
      <c r="X250" s="2">
        <f t="shared" si="53"/>
        <v>5897.5</v>
      </c>
      <c r="Y250" s="2">
        <f t="shared" si="54"/>
        <v>530.775</v>
      </c>
      <c r="Z250" s="2">
        <f t="shared" si="55"/>
        <v>141.54</v>
      </c>
      <c r="AA250" s="2">
        <f t="shared" si="56"/>
        <v>1304.19</v>
      </c>
      <c r="AB250" s="2">
        <f t="shared" si="57"/>
        <v>6.52095</v>
      </c>
    </row>
    <row r="251" spans="1:28" ht="15">
      <c r="A251" s="30" t="str">
        <f t="shared" si="45"/>
        <v>Spray (Bcast/HB)27' Rigid</v>
      </c>
      <c r="B251" s="47" t="s">
        <v>206</v>
      </c>
      <c r="C251" s="47" t="s">
        <v>246</v>
      </c>
      <c r="D251" s="49">
        <v>27</v>
      </c>
      <c r="E251" s="3">
        <v>7.5</v>
      </c>
      <c r="F251" s="3">
        <v>0.65</v>
      </c>
      <c r="G251" s="84">
        <f t="shared" si="59"/>
        <v>0.06267806267806268</v>
      </c>
      <c r="H251" s="150">
        <v>5928</v>
      </c>
      <c r="I251" s="150">
        <v>40</v>
      </c>
      <c r="J251" s="150">
        <v>75</v>
      </c>
      <c r="K251" s="150">
        <v>8</v>
      </c>
      <c r="L251" s="150">
        <v>200</v>
      </c>
      <c r="M251" s="48">
        <v>0</v>
      </c>
      <c r="N251" s="34">
        <f t="shared" si="46"/>
        <v>1600</v>
      </c>
      <c r="O251" s="28">
        <v>1</v>
      </c>
      <c r="P251" s="41">
        <v>0.27</v>
      </c>
      <c r="Q251" s="41">
        <v>1.4</v>
      </c>
      <c r="R251" s="31">
        <f t="shared" si="47"/>
        <v>168.15661370465978</v>
      </c>
      <c r="S251" s="31">
        <f t="shared" si="48"/>
        <v>0.8407830685232989</v>
      </c>
      <c r="T251" s="32">
        <f t="shared" si="49"/>
        <v>555.75</v>
      </c>
      <c r="U251" s="32">
        <f t="shared" si="50"/>
        <v>2.77875</v>
      </c>
      <c r="V251" s="2">
        <f t="shared" si="51"/>
        <v>2371.2</v>
      </c>
      <c r="W251" s="2">
        <f t="shared" si="52"/>
        <v>444.6</v>
      </c>
      <c r="X251" s="2">
        <f t="shared" si="53"/>
        <v>4149.6</v>
      </c>
      <c r="Y251" s="2">
        <f t="shared" si="54"/>
        <v>373.464</v>
      </c>
      <c r="Z251" s="2">
        <f t="shared" si="55"/>
        <v>99.59040000000002</v>
      </c>
      <c r="AA251" s="2">
        <f t="shared" si="56"/>
        <v>917.6544</v>
      </c>
      <c r="AB251" s="2">
        <f t="shared" si="57"/>
        <v>4.588272</v>
      </c>
    </row>
    <row r="252" spans="1:28" ht="15">
      <c r="A252" s="30" t="str">
        <f t="shared" si="45"/>
        <v>Spray (Bcast/HB)30' Fold</v>
      </c>
      <c r="B252" s="47" t="s">
        <v>206</v>
      </c>
      <c r="C252" s="47" t="s">
        <v>214</v>
      </c>
      <c r="D252" s="49">
        <v>30</v>
      </c>
      <c r="E252" s="3">
        <v>7.5</v>
      </c>
      <c r="F252" s="3">
        <v>0.65</v>
      </c>
      <c r="G252" s="84">
        <f t="shared" si="59"/>
        <v>0.05641025641025641</v>
      </c>
      <c r="H252" s="150">
        <v>12103</v>
      </c>
      <c r="I252" s="150">
        <v>40</v>
      </c>
      <c r="J252" s="150">
        <v>75</v>
      </c>
      <c r="K252" s="150">
        <v>8</v>
      </c>
      <c r="L252" s="150">
        <v>200</v>
      </c>
      <c r="M252" s="48">
        <v>0</v>
      </c>
      <c r="N252" s="34">
        <f t="shared" si="46"/>
        <v>1600</v>
      </c>
      <c r="O252" s="28">
        <v>1</v>
      </c>
      <c r="P252" s="41">
        <v>0.27</v>
      </c>
      <c r="Q252" s="41">
        <v>1.4</v>
      </c>
      <c r="R252" s="31">
        <f t="shared" si="47"/>
        <v>343.31975298034706</v>
      </c>
      <c r="S252" s="31">
        <f t="shared" si="48"/>
        <v>1.7165987649017354</v>
      </c>
      <c r="T252" s="32">
        <f t="shared" si="49"/>
        <v>1134.65625</v>
      </c>
      <c r="U252" s="32">
        <f t="shared" si="50"/>
        <v>5.67328125</v>
      </c>
      <c r="V252" s="2">
        <f t="shared" si="51"/>
        <v>4841.2</v>
      </c>
      <c r="W252" s="2">
        <f t="shared" si="52"/>
        <v>907.725</v>
      </c>
      <c r="X252" s="2">
        <f t="shared" si="53"/>
        <v>8472.1</v>
      </c>
      <c r="Y252" s="2">
        <f t="shared" si="54"/>
        <v>762.489</v>
      </c>
      <c r="Z252" s="2">
        <f t="shared" si="55"/>
        <v>203.33040000000003</v>
      </c>
      <c r="AA252" s="2">
        <f t="shared" si="56"/>
        <v>1873.5444000000002</v>
      </c>
      <c r="AB252" s="2">
        <f t="shared" si="57"/>
        <v>9.367722</v>
      </c>
    </row>
    <row r="253" spans="1:28" ht="15">
      <c r="A253" s="30" t="str">
        <f t="shared" si="45"/>
        <v>Spray (Bcast/HB)40' Fold</v>
      </c>
      <c r="B253" s="47" t="s">
        <v>206</v>
      </c>
      <c r="C253" s="47" t="s">
        <v>212</v>
      </c>
      <c r="D253" s="49">
        <v>40</v>
      </c>
      <c r="E253" s="3">
        <v>7.5</v>
      </c>
      <c r="F253" s="3">
        <v>0.65</v>
      </c>
      <c r="G253" s="84">
        <f t="shared" si="59"/>
        <v>0.04230769230769231</v>
      </c>
      <c r="H253" s="150">
        <v>11746</v>
      </c>
      <c r="I253" s="150">
        <v>40</v>
      </c>
      <c r="J253" s="150">
        <v>75</v>
      </c>
      <c r="K253" s="150">
        <v>8</v>
      </c>
      <c r="L253" s="150">
        <v>200</v>
      </c>
      <c r="M253" s="48">
        <v>0</v>
      </c>
      <c r="N253" s="34">
        <f t="shared" si="46"/>
        <v>1600</v>
      </c>
      <c r="O253" s="28">
        <v>1</v>
      </c>
      <c r="P253" s="41">
        <v>0.27</v>
      </c>
      <c r="Q253" s="41">
        <v>1.4</v>
      </c>
      <c r="R253" s="31">
        <f t="shared" si="47"/>
        <v>333.1929123776879</v>
      </c>
      <c r="S253" s="31">
        <f t="shared" si="48"/>
        <v>1.6659645618884396</v>
      </c>
      <c r="T253" s="32">
        <f t="shared" si="49"/>
        <v>1101.1875</v>
      </c>
      <c r="U253" s="32">
        <f t="shared" si="50"/>
        <v>5.5059375</v>
      </c>
      <c r="V253" s="2">
        <f t="shared" si="51"/>
        <v>4698.4</v>
      </c>
      <c r="W253" s="2">
        <f t="shared" si="52"/>
        <v>880.95</v>
      </c>
      <c r="X253" s="2">
        <f t="shared" si="53"/>
        <v>8222.2</v>
      </c>
      <c r="Y253" s="2">
        <f t="shared" si="54"/>
        <v>739.998</v>
      </c>
      <c r="Z253" s="2">
        <f t="shared" si="55"/>
        <v>197.33280000000002</v>
      </c>
      <c r="AA253" s="2">
        <f t="shared" si="56"/>
        <v>1818.2808</v>
      </c>
      <c r="AB253" s="2">
        <f t="shared" si="57"/>
        <v>9.091404</v>
      </c>
    </row>
    <row r="254" spans="1:28" ht="15">
      <c r="A254" s="30" t="str">
        <f t="shared" si="45"/>
        <v>Spray (Bcast/HB/HD)27'</v>
      </c>
      <c r="B254" s="47" t="s">
        <v>215</v>
      </c>
      <c r="C254" s="47" t="s">
        <v>126</v>
      </c>
      <c r="D254" s="49">
        <v>27</v>
      </c>
      <c r="E254" s="3">
        <v>7.5</v>
      </c>
      <c r="F254" s="3">
        <v>0.65</v>
      </c>
      <c r="G254" s="84">
        <f t="shared" si="59"/>
        <v>0.06267806267806268</v>
      </c>
      <c r="H254" s="150">
        <v>19279</v>
      </c>
      <c r="I254" s="150">
        <v>40</v>
      </c>
      <c r="J254" s="150">
        <v>75</v>
      </c>
      <c r="K254" s="150">
        <v>8</v>
      </c>
      <c r="L254" s="150">
        <v>200</v>
      </c>
      <c r="M254" s="48">
        <v>0</v>
      </c>
      <c r="N254" s="34">
        <f t="shared" si="46"/>
        <v>1600</v>
      </c>
      <c r="O254" s="28">
        <v>1</v>
      </c>
      <c r="P254" s="41">
        <v>0.27</v>
      </c>
      <c r="Q254" s="41">
        <v>1.4</v>
      </c>
      <c r="R254" s="31">
        <f t="shared" si="47"/>
        <v>546.8777590438825</v>
      </c>
      <c r="S254" s="31">
        <f t="shared" si="48"/>
        <v>2.7343887952194126</v>
      </c>
      <c r="T254" s="32">
        <f t="shared" si="49"/>
        <v>1807.40625</v>
      </c>
      <c r="U254" s="32">
        <f t="shared" si="50"/>
        <v>9.03703125</v>
      </c>
      <c r="V254" s="2">
        <f t="shared" si="51"/>
        <v>7711.6</v>
      </c>
      <c r="W254" s="2">
        <f t="shared" si="52"/>
        <v>1445.925</v>
      </c>
      <c r="X254" s="2">
        <f t="shared" si="53"/>
        <v>13495.3</v>
      </c>
      <c r="Y254" s="2">
        <f t="shared" si="54"/>
        <v>1214.577</v>
      </c>
      <c r="Z254" s="2">
        <f t="shared" si="55"/>
        <v>323.8872</v>
      </c>
      <c r="AA254" s="2">
        <f t="shared" si="56"/>
        <v>2984.3891999999996</v>
      </c>
      <c r="AB254" s="2">
        <f t="shared" si="57"/>
        <v>14.921945999999998</v>
      </c>
    </row>
    <row r="255" spans="1:28" ht="15">
      <c r="A255" s="30" t="str">
        <f t="shared" si="45"/>
        <v>Spray (Bcast/HB/HD)40'</v>
      </c>
      <c r="B255" s="47" t="s">
        <v>215</v>
      </c>
      <c r="C255" s="47" t="s">
        <v>122</v>
      </c>
      <c r="D255" s="49">
        <v>40</v>
      </c>
      <c r="E255" s="3">
        <v>7.5</v>
      </c>
      <c r="F255" s="3">
        <v>0.65</v>
      </c>
      <c r="G255" s="84">
        <f t="shared" si="59"/>
        <v>0.04230769230769231</v>
      </c>
      <c r="H255" s="150">
        <v>23062</v>
      </c>
      <c r="I255" s="150">
        <v>40</v>
      </c>
      <c r="J255" s="150">
        <v>75</v>
      </c>
      <c r="K255" s="150">
        <v>8</v>
      </c>
      <c r="L255" s="150">
        <v>200</v>
      </c>
      <c r="M255" s="48">
        <v>0</v>
      </c>
      <c r="N255" s="34">
        <f t="shared" si="46"/>
        <v>1600</v>
      </c>
      <c r="O255" s="28">
        <v>1</v>
      </c>
      <c r="P255" s="41">
        <v>0.27</v>
      </c>
      <c r="Q255" s="41">
        <v>1.4</v>
      </c>
      <c r="R255" s="31">
        <f t="shared" si="47"/>
        <v>654.1882296317247</v>
      </c>
      <c r="S255" s="31">
        <f t="shared" si="48"/>
        <v>3.2709411481586232</v>
      </c>
      <c r="T255" s="32">
        <f t="shared" si="49"/>
        <v>2162.0625</v>
      </c>
      <c r="U255" s="32">
        <f t="shared" si="50"/>
        <v>10.8103125</v>
      </c>
      <c r="V255" s="2">
        <f t="shared" si="51"/>
        <v>9224.8</v>
      </c>
      <c r="W255" s="2">
        <f t="shared" si="52"/>
        <v>1729.65</v>
      </c>
      <c r="X255" s="2">
        <f t="shared" si="53"/>
        <v>16143.4</v>
      </c>
      <c r="Y255" s="2">
        <f t="shared" si="54"/>
        <v>1452.906</v>
      </c>
      <c r="Z255" s="2">
        <f t="shared" si="55"/>
        <v>387.4416</v>
      </c>
      <c r="AA255" s="2">
        <f t="shared" si="56"/>
        <v>3569.9976</v>
      </c>
      <c r="AB255" s="2">
        <f t="shared" si="57"/>
        <v>17.849988</v>
      </c>
    </row>
    <row r="256" spans="1:28" ht="15">
      <c r="A256" s="30" t="str">
        <f t="shared" si="45"/>
        <v>Spray (Broadcast)27'</v>
      </c>
      <c r="B256" s="47" t="s">
        <v>198</v>
      </c>
      <c r="C256" s="47" t="s">
        <v>126</v>
      </c>
      <c r="D256" s="49">
        <v>27</v>
      </c>
      <c r="E256" s="3">
        <v>7.5</v>
      </c>
      <c r="F256" s="3">
        <v>0.65</v>
      </c>
      <c r="G256" s="84">
        <f t="shared" si="59"/>
        <v>0.06267806267806268</v>
      </c>
      <c r="H256" s="150">
        <v>5369</v>
      </c>
      <c r="I256" s="150">
        <v>40</v>
      </c>
      <c r="J256" s="150">
        <v>75</v>
      </c>
      <c r="K256" s="150">
        <v>8</v>
      </c>
      <c r="L256" s="150">
        <v>200</v>
      </c>
      <c r="M256" s="48">
        <v>0</v>
      </c>
      <c r="N256" s="34">
        <f t="shared" si="46"/>
        <v>1600</v>
      </c>
      <c r="O256" s="28">
        <v>1</v>
      </c>
      <c r="P256" s="41">
        <v>0.27</v>
      </c>
      <c r="Q256" s="41">
        <v>1.4</v>
      </c>
      <c r="R256" s="31">
        <f t="shared" si="47"/>
        <v>152.29974004391335</v>
      </c>
      <c r="S256" s="31">
        <f t="shared" si="48"/>
        <v>0.7614987002195668</v>
      </c>
      <c r="T256" s="32">
        <f t="shared" si="49"/>
        <v>503.34375</v>
      </c>
      <c r="U256" s="32">
        <f t="shared" si="50"/>
        <v>2.51671875</v>
      </c>
      <c r="V256" s="2">
        <f t="shared" si="51"/>
        <v>2147.6</v>
      </c>
      <c r="W256" s="2">
        <f t="shared" si="52"/>
        <v>402.675</v>
      </c>
      <c r="X256" s="2">
        <f t="shared" si="53"/>
        <v>3758.3</v>
      </c>
      <c r="Y256" s="2">
        <f t="shared" si="54"/>
        <v>338.247</v>
      </c>
      <c r="Z256" s="2">
        <f t="shared" si="55"/>
        <v>90.1992</v>
      </c>
      <c r="AA256" s="2">
        <f t="shared" si="56"/>
        <v>831.1212</v>
      </c>
      <c r="AB256" s="2">
        <f t="shared" si="57"/>
        <v>4.155606000000001</v>
      </c>
    </row>
    <row r="257" spans="1:28" ht="15">
      <c r="A257" s="30" t="str">
        <f t="shared" si="45"/>
        <v>Spray (Broadcast)40'</v>
      </c>
      <c r="B257" s="47" t="s">
        <v>198</v>
      </c>
      <c r="C257" s="47" t="s">
        <v>122</v>
      </c>
      <c r="D257" s="49">
        <v>40</v>
      </c>
      <c r="E257" s="3">
        <v>7.5</v>
      </c>
      <c r="F257" s="3">
        <v>0.65</v>
      </c>
      <c r="G257" s="84">
        <f t="shared" si="59"/>
        <v>0.04230769230769231</v>
      </c>
      <c r="H257" s="150">
        <v>5572</v>
      </c>
      <c r="I257" s="150">
        <v>40</v>
      </c>
      <c r="J257" s="150">
        <v>75</v>
      </c>
      <c r="K257" s="150">
        <v>8</v>
      </c>
      <c r="L257" s="150">
        <v>200</v>
      </c>
      <c r="M257" s="48">
        <v>0</v>
      </c>
      <c r="N257" s="34">
        <f t="shared" si="46"/>
        <v>1600</v>
      </c>
      <c r="O257" s="28">
        <v>1</v>
      </c>
      <c r="P257" s="41">
        <v>0.27</v>
      </c>
      <c r="Q257" s="41">
        <v>1.4</v>
      </c>
      <c r="R257" s="31">
        <f t="shared" si="47"/>
        <v>158.05813960228818</v>
      </c>
      <c r="S257" s="31">
        <f t="shared" si="48"/>
        <v>0.7902906980114409</v>
      </c>
      <c r="T257" s="32">
        <f t="shared" si="49"/>
        <v>522.375</v>
      </c>
      <c r="U257" s="32">
        <f t="shared" si="50"/>
        <v>2.611875</v>
      </c>
      <c r="V257" s="2">
        <f t="shared" si="51"/>
        <v>2228.8</v>
      </c>
      <c r="W257" s="2">
        <f t="shared" si="52"/>
        <v>417.9</v>
      </c>
      <c r="X257" s="2">
        <f t="shared" si="53"/>
        <v>3900.4</v>
      </c>
      <c r="Y257" s="2">
        <f t="shared" si="54"/>
        <v>351.036</v>
      </c>
      <c r="Z257" s="2">
        <f t="shared" si="55"/>
        <v>93.6096</v>
      </c>
      <c r="AA257" s="2">
        <f t="shared" si="56"/>
        <v>862.5455999999999</v>
      </c>
      <c r="AB257" s="2">
        <f t="shared" si="57"/>
        <v>4.312728</v>
      </c>
    </row>
    <row r="258" spans="1:28" ht="15">
      <c r="A258" s="30" t="str">
        <f t="shared" si="45"/>
        <v>Spray (Broadcast)50'</v>
      </c>
      <c r="B258" s="47" t="s">
        <v>198</v>
      </c>
      <c r="C258" s="47" t="s">
        <v>110</v>
      </c>
      <c r="D258" s="49">
        <v>50</v>
      </c>
      <c r="E258" s="3">
        <v>7.5</v>
      </c>
      <c r="F258" s="3">
        <v>0.65</v>
      </c>
      <c r="G258" s="84">
        <f t="shared" si="59"/>
        <v>0.033846153846153845</v>
      </c>
      <c r="H258" s="150">
        <v>5461</v>
      </c>
      <c r="I258" s="150">
        <v>40</v>
      </c>
      <c r="J258" s="150">
        <v>75</v>
      </c>
      <c r="K258" s="150">
        <v>8</v>
      </c>
      <c r="L258" s="150">
        <v>200</v>
      </c>
      <c r="M258" s="48">
        <v>0</v>
      </c>
      <c r="N258" s="34">
        <f t="shared" si="46"/>
        <v>1600</v>
      </c>
      <c r="O258" s="28">
        <v>1</v>
      </c>
      <c r="P258" s="41">
        <v>0.27</v>
      </c>
      <c r="Q258" s="41">
        <v>1.4</v>
      </c>
      <c r="R258" s="31">
        <f t="shared" si="47"/>
        <v>154.90945807036894</v>
      </c>
      <c r="S258" s="31">
        <f t="shared" si="48"/>
        <v>0.7745472903518447</v>
      </c>
      <c r="T258" s="32">
        <f t="shared" si="49"/>
        <v>511.96875</v>
      </c>
      <c r="U258" s="32">
        <f t="shared" si="50"/>
        <v>2.55984375</v>
      </c>
      <c r="V258" s="2">
        <f t="shared" si="51"/>
        <v>2184.4</v>
      </c>
      <c r="W258" s="2">
        <f t="shared" si="52"/>
        <v>409.575</v>
      </c>
      <c r="X258" s="2">
        <f t="shared" si="53"/>
        <v>3822.7</v>
      </c>
      <c r="Y258" s="2">
        <f t="shared" si="54"/>
        <v>344.04299999999995</v>
      </c>
      <c r="Z258" s="2">
        <f t="shared" si="55"/>
        <v>91.7448</v>
      </c>
      <c r="AA258" s="2">
        <f t="shared" si="56"/>
        <v>845.3627999999999</v>
      </c>
      <c r="AB258" s="2">
        <f t="shared" si="57"/>
        <v>4.226813999999999</v>
      </c>
    </row>
    <row r="259" spans="1:28" ht="15">
      <c r="A259" s="30" t="str">
        <f t="shared" si="45"/>
        <v>Spray (Broadcast)53'</v>
      </c>
      <c r="B259" s="47" t="s">
        <v>198</v>
      </c>
      <c r="C259" s="47" t="s">
        <v>226</v>
      </c>
      <c r="D259" s="49">
        <v>53</v>
      </c>
      <c r="E259" s="3">
        <v>7.5</v>
      </c>
      <c r="F259" s="3">
        <v>0.65</v>
      </c>
      <c r="G259" s="84">
        <f t="shared" si="59"/>
        <v>0.031930333817126275</v>
      </c>
      <c r="H259" s="150">
        <v>6434</v>
      </c>
      <c r="I259" s="150">
        <v>40</v>
      </c>
      <c r="J259" s="150">
        <v>75</v>
      </c>
      <c r="K259" s="150">
        <v>8</v>
      </c>
      <c r="L259" s="150">
        <v>200</v>
      </c>
      <c r="M259" s="48">
        <v>0</v>
      </c>
      <c r="N259" s="34">
        <f t="shared" si="46"/>
        <v>1600</v>
      </c>
      <c r="O259" s="28">
        <v>1</v>
      </c>
      <c r="P259" s="41">
        <v>0.27</v>
      </c>
      <c r="Q259" s="41">
        <v>1.4</v>
      </c>
      <c r="R259" s="31">
        <f t="shared" si="47"/>
        <v>182.5100628501655</v>
      </c>
      <c r="S259" s="31">
        <f t="shared" si="48"/>
        <v>0.9125503142508274</v>
      </c>
      <c r="T259" s="32">
        <f t="shared" si="49"/>
        <v>603.1875</v>
      </c>
      <c r="U259" s="32">
        <f t="shared" si="50"/>
        <v>3.0159375</v>
      </c>
      <c r="V259" s="2">
        <f t="shared" si="51"/>
        <v>2573.6</v>
      </c>
      <c r="W259" s="2">
        <f t="shared" si="52"/>
        <v>482.55</v>
      </c>
      <c r="X259" s="2">
        <f t="shared" si="53"/>
        <v>4503.8</v>
      </c>
      <c r="Y259" s="2">
        <f t="shared" si="54"/>
        <v>405.342</v>
      </c>
      <c r="Z259" s="2">
        <f t="shared" si="55"/>
        <v>108.0912</v>
      </c>
      <c r="AA259" s="2">
        <f t="shared" si="56"/>
        <v>995.9831999999999</v>
      </c>
      <c r="AB259" s="2">
        <f t="shared" si="57"/>
        <v>4.979915999999999</v>
      </c>
    </row>
    <row r="260" spans="1:28" ht="15">
      <c r="A260" s="30" t="str">
        <f t="shared" si="45"/>
        <v>Spray (Broadcast)60'</v>
      </c>
      <c r="B260" s="47" t="s">
        <v>198</v>
      </c>
      <c r="C260" s="47" t="s">
        <v>139</v>
      </c>
      <c r="D260" s="49">
        <v>60</v>
      </c>
      <c r="E260" s="3">
        <v>7.5</v>
      </c>
      <c r="F260" s="3">
        <v>0.65</v>
      </c>
      <c r="G260" s="84">
        <f t="shared" si="59"/>
        <v>0.028205128205128206</v>
      </c>
      <c r="H260" s="150">
        <v>7479</v>
      </c>
      <c r="I260" s="150">
        <v>40</v>
      </c>
      <c r="J260" s="150">
        <v>75</v>
      </c>
      <c r="K260" s="150">
        <v>8</v>
      </c>
      <c r="L260" s="150">
        <v>200</v>
      </c>
      <c r="M260" s="48">
        <v>0</v>
      </c>
      <c r="N260" s="34">
        <f t="shared" si="46"/>
        <v>1600</v>
      </c>
      <c r="O260" s="28">
        <v>1</v>
      </c>
      <c r="P260" s="41">
        <v>0.27</v>
      </c>
      <c r="Q260" s="41">
        <v>1.4</v>
      </c>
      <c r="R260" s="31">
        <f t="shared" si="47"/>
        <v>212.1530556506664</v>
      </c>
      <c r="S260" s="31">
        <f t="shared" si="48"/>
        <v>1.0607652782533321</v>
      </c>
      <c r="T260" s="32">
        <f t="shared" si="49"/>
        <v>701.15625</v>
      </c>
      <c r="U260" s="32">
        <f t="shared" si="50"/>
        <v>3.50578125</v>
      </c>
      <c r="V260" s="2">
        <f t="shared" si="51"/>
        <v>2991.6</v>
      </c>
      <c r="W260" s="2">
        <f t="shared" si="52"/>
        <v>560.925</v>
      </c>
      <c r="X260" s="2">
        <f t="shared" si="53"/>
        <v>5235.3</v>
      </c>
      <c r="Y260" s="2">
        <f t="shared" si="54"/>
        <v>471.177</v>
      </c>
      <c r="Z260" s="2">
        <f t="shared" si="55"/>
        <v>125.64720000000001</v>
      </c>
      <c r="AA260" s="2">
        <f t="shared" si="56"/>
        <v>1157.7492</v>
      </c>
      <c r="AB260" s="2">
        <f t="shared" si="57"/>
        <v>5.788746</v>
      </c>
    </row>
    <row r="261" spans="1:28" ht="15">
      <c r="A261" s="30" t="str">
        <f t="shared" si="45"/>
        <v>Spray (Direct/Hood)12R-30</v>
      </c>
      <c r="B261" s="47" t="s">
        <v>174</v>
      </c>
      <c r="C261" s="47" t="s">
        <v>213</v>
      </c>
      <c r="D261" s="49">
        <v>30</v>
      </c>
      <c r="E261" s="3">
        <v>7.5</v>
      </c>
      <c r="F261" s="3">
        <v>0.65</v>
      </c>
      <c r="G261" s="84">
        <f t="shared" si="59"/>
        <v>0.05641025641025641</v>
      </c>
      <c r="H261" s="150">
        <v>16475</v>
      </c>
      <c r="I261" s="150">
        <v>40</v>
      </c>
      <c r="J261" s="150">
        <v>75</v>
      </c>
      <c r="K261" s="150">
        <v>8</v>
      </c>
      <c r="L261" s="150">
        <v>200</v>
      </c>
      <c r="M261" s="48">
        <v>0</v>
      </c>
      <c r="N261" s="34">
        <f t="shared" si="46"/>
        <v>1600</v>
      </c>
      <c r="O261" s="28">
        <v>1</v>
      </c>
      <c r="P261" s="41">
        <v>0.27</v>
      </c>
      <c r="Q261" s="41">
        <v>1.4</v>
      </c>
      <c r="R261" s="31">
        <f t="shared" si="47"/>
        <v>467.33809223756236</v>
      </c>
      <c r="S261" s="31">
        <f t="shared" si="48"/>
        <v>2.336690461187812</v>
      </c>
      <c r="T261" s="32">
        <f t="shared" si="49"/>
        <v>1544.53125</v>
      </c>
      <c r="U261" s="32">
        <f t="shared" si="50"/>
        <v>7.72265625</v>
      </c>
      <c r="V261" s="2">
        <f t="shared" si="51"/>
        <v>6590</v>
      </c>
      <c r="W261" s="2">
        <f t="shared" si="52"/>
        <v>1235.625</v>
      </c>
      <c r="X261" s="2">
        <f t="shared" si="53"/>
        <v>11532.5</v>
      </c>
      <c r="Y261" s="2">
        <f t="shared" si="54"/>
        <v>1037.925</v>
      </c>
      <c r="Z261" s="2">
        <f t="shared" si="55"/>
        <v>276.78000000000003</v>
      </c>
      <c r="AA261" s="2">
        <f t="shared" si="56"/>
        <v>2550.33</v>
      </c>
      <c r="AB261" s="2">
        <f t="shared" si="57"/>
        <v>12.75165</v>
      </c>
    </row>
    <row r="262" spans="1:28" ht="15">
      <c r="A262" s="30" t="str">
        <f t="shared" si="45"/>
        <v>Spray (Direct/Hood)12R-36</v>
      </c>
      <c r="B262" s="47" t="s">
        <v>174</v>
      </c>
      <c r="C262" s="47" t="s">
        <v>376</v>
      </c>
      <c r="D262" s="49">
        <v>36</v>
      </c>
      <c r="E262" s="3">
        <v>7.5</v>
      </c>
      <c r="F262" s="3">
        <v>0.65</v>
      </c>
      <c r="G262" s="84">
        <f t="shared" si="59"/>
        <v>0.04700854700854701</v>
      </c>
      <c r="H262" s="150">
        <v>16877</v>
      </c>
      <c r="I262" s="150">
        <v>40</v>
      </c>
      <c r="J262" s="150">
        <v>75</v>
      </c>
      <c r="K262" s="150">
        <v>8</v>
      </c>
      <c r="L262" s="150">
        <v>200</v>
      </c>
      <c r="M262" s="48">
        <v>0</v>
      </c>
      <c r="N262" s="34">
        <f t="shared" si="46"/>
        <v>1600</v>
      </c>
      <c r="O262" s="28">
        <v>1</v>
      </c>
      <c r="P262" s="41">
        <v>0.27</v>
      </c>
      <c r="Q262" s="41">
        <v>1.4</v>
      </c>
      <c r="R262" s="31">
        <f t="shared" si="47"/>
        <v>478.7414253531618</v>
      </c>
      <c r="S262" s="31">
        <f t="shared" si="48"/>
        <v>2.393707126765809</v>
      </c>
      <c r="T262" s="32">
        <f t="shared" si="49"/>
        <v>1582.21875</v>
      </c>
      <c r="U262" s="32">
        <f t="shared" si="50"/>
        <v>7.91109375</v>
      </c>
      <c r="V262" s="2">
        <f t="shared" si="51"/>
        <v>6750.8</v>
      </c>
      <c r="W262" s="2">
        <f t="shared" si="52"/>
        <v>1265.775</v>
      </c>
      <c r="X262" s="2">
        <f t="shared" si="53"/>
        <v>11813.9</v>
      </c>
      <c r="Y262" s="2">
        <f t="shared" si="54"/>
        <v>1063.251</v>
      </c>
      <c r="Z262" s="2">
        <f t="shared" si="55"/>
        <v>283.5336</v>
      </c>
      <c r="AA262" s="2">
        <f t="shared" si="56"/>
        <v>2612.5596</v>
      </c>
      <c r="AB262" s="2">
        <f t="shared" si="57"/>
        <v>13.062798</v>
      </c>
    </row>
    <row r="263" spans="1:28" ht="15">
      <c r="A263" s="30" t="str">
        <f t="shared" si="45"/>
        <v>Spray (Direct/Hood)8R-30</v>
      </c>
      <c r="B263" s="47" t="s">
        <v>174</v>
      </c>
      <c r="C263" s="47" t="s">
        <v>101</v>
      </c>
      <c r="D263" s="49">
        <v>20</v>
      </c>
      <c r="E263" s="3">
        <v>7.5</v>
      </c>
      <c r="F263" s="3">
        <v>0.65</v>
      </c>
      <c r="G263" s="84">
        <f t="shared" si="59"/>
        <v>0.08461538461538462</v>
      </c>
      <c r="H263" s="150">
        <v>12824</v>
      </c>
      <c r="I263" s="150">
        <v>40</v>
      </c>
      <c r="J263" s="150">
        <v>75</v>
      </c>
      <c r="K263" s="150">
        <v>8</v>
      </c>
      <c r="L263" s="150">
        <v>200</v>
      </c>
      <c r="M263" s="48">
        <v>0</v>
      </c>
      <c r="N263" s="34">
        <f t="shared" si="46"/>
        <v>1600</v>
      </c>
      <c r="O263" s="28">
        <v>1</v>
      </c>
      <c r="P263" s="41">
        <v>0.27</v>
      </c>
      <c r="Q263" s="41">
        <v>1.4</v>
      </c>
      <c r="R263" s="31">
        <f t="shared" si="47"/>
        <v>363.7719996876783</v>
      </c>
      <c r="S263" s="31">
        <f t="shared" si="48"/>
        <v>1.8188599984383915</v>
      </c>
      <c r="T263" s="32">
        <f t="shared" si="49"/>
        <v>1202.25</v>
      </c>
      <c r="U263" s="32">
        <f t="shared" si="50"/>
        <v>6.01125</v>
      </c>
      <c r="V263" s="2">
        <f t="shared" si="51"/>
        <v>5129.6</v>
      </c>
      <c r="W263" s="2">
        <f t="shared" si="52"/>
        <v>961.8</v>
      </c>
      <c r="X263" s="2">
        <f t="shared" si="53"/>
        <v>8976.8</v>
      </c>
      <c r="Y263" s="2">
        <f t="shared" si="54"/>
        <v>807.9119999999999</v>
      </c>
      <c r="Z263" s="2">
        <f t="shared" si="55"/>
        <v>215.4432</v>
      </c>
      <c r="AA263" s="2">
        <f t="shared" si="56"/>
        <v>1985.1552</v>
      </c>
      <c r="AB263" s="2">
        <f t="shared" si="57"/>
        <v>9.925775999999999</v>
      </c>
    </row>
    <row r="264" spans="1:28" ht="15">
      <c r="A264" s="30" t="str">
        <f aca="true" t="shared" si="60" ref="A264:A303">+CONCATENATE(B264,C264)</f>
        <v>Spray (Direct/Hood)8R-36</v>
      </c>
      <c r="B264" s="47" t="s">
        <v>174</v>
      </c>
      <c r="C264" s="47" t="s">
        <v>377</v>
      </c>
      <c r="D264" s="49">
        <v>24</v>
      </c>
      <c r="E264" s="3">
        <v>7.5</v>
      </c>
      <c r="F264" s="3">
        <v>0.65</v>
      </c>
      <c r="G264" s="84">
        <f t="shared" si="59"/>
        <v>0.07051282051282051</v>
      </c>
      <c r="H264" s="150">
        <v>13749</v>
      </c>
      <c r="I264" s="150">
        <v>40</v>
      </c>
      <c r="J264" s="150">
        <v>75</v>
      </c>
      <c r="K264" s="150">
        <v>8</v>
      </c>
      <c r="L264" s="150">
        <v>200</v>
      </c>
      <c r="M264" s="48">
        <v>0</v>
      </c>
      <c r="N264" s="34">
        <f aca="true" t="shared" si="61" ref="N264:N290">+K264*L264</f>
        <v>1600</v>
      </c>
      <c r="O264" s="28">
        <v>1</v>
      </c>
      <c r="P264" s="41">
        <v>0.27</v>
      </c>
      <c r="Q264" s="41">
        <v>1.4</v>
      </c>
      <c r="R264" s="31">
        <f aca="true" t="shared" si="62" ref="R264:R290">+(P264*H264)*((O264*L264/1000)^Q264)</f>
        <v>390.0110124536719</v>
      </c>
      <c r="S264" s="31">
        <f aca="true" t="shared" si="63" ref="S264:S290">+R264/L264</f>
        <v>1.9500550622683597</v>
      </c>
      <c r="T264" s="32">
        <f aca="true" t="shared" si="64" ref="T264:T290">+(H264*J264/100)/K264</f>
        <v>1288.96875</v>
      </c>
      <c r="U264" s="32">
        <f aca="true" t="shared" si="65" ref="U264:U290">+T264/L264</f>
        <v>6.44484375</v>
      </c>
      <c r="V264" s="2">
        <f aca="true" t="shared" si="66" ref="V264:V290">+(H264*I264/100)</f>
        <v>5499.6</v>
      </c>
      <c r="W264" s="2">
        <f aca="true" t="shared" si="67" ref="W264:W290">+(H264-V264)/K264</f>
        <v>1031.175</v>
      </c>
      <c r="X264" s="2">
        <f aca="true" t="shared" si="68" ref="X264:X290">+(V264+H264)/2</f>
        <v>9624.3</v>
      </c>
      <c r="Y264" s="2">
        <f aca="true" t="shared" si="69" ref="Y264:Y290">+X264*iir</f>
        <v>866.1869999999999</v>
      </c>
      <c r="Z264" s="2">
        <f aca="true" t="shared" si="70" ref="Z264:Z290">+X264*ins_tax</f>
        <v>230.98319999999998</v>
      </c>
      <c r="AA264" s="2">
        <f aca="true" t="shared" si="71" ref="AA264:AA290">+Z264+Y264+W264</f>
        <v>2128.3451999999997</v>
      </c>
      <c r="AB264" s="2">
        <f aca="true" t="shared" si="72" ref="AB264:AB290">+AA264/L264</f>
        <v>10.641725999999998</v>
      </c>
    </row>
    <row r="265" spans="1:28" ht="15">
      <c r="A265" s="30" t="str">
        <f t="shared" si="60"/>
        <v>Spray (Direct/Layby)10R-30</v>
      </c>
      <c r="B265" s="47" t="s">
        <v>175</v>
      </c>
      <c r="C265" s="47" t="s">
        <v>103</v>
      </c>
      <c r="D265" s="49">
        <v>25</v>
      </c>
      <c r="E265" s="3">
        <v>7.5</v>
      </c>
      <c r="F265" s="3">
        <v>0.65</v>
      </c>
      <c r="G265" s="84">
        <f t="shared" si="59"/>
        <v>0.06769230769230769</v>
      </c>
      <c r="H265" s="150">
        <v>8141</v>
      </c>
      <c r="I265" s="150">
        <v>40</v>
      </c>
      <c r="J265" s="150">
        <v>75</v>
      </c>
      <c r="K265" s="150">
        <v>8</v>
      </c>
      <c r="L265" s="150">
        <v>200</v>
      </c>
      <c r="M265" s="48">
        <v>0</v>
      </c>
      <c r="N265" s="34">
        <f t="shared" si="61"/>
        <v>1600</v>
      </c>
      <c r="O265" s="28">
        <v>1</v>
      </c>
      <c r="P265" s="41">
        <v>0.27</v>
      </c>
      <c r="Q265" s="41">
        <v>1.4</v>
      </c>
      <c r="R265" s="31">
        <f t="shared" si="62"/>
        <v>230.93167884103158</v>
      </c>
      <c r="S265" s="31">
        <f t="shared" si="63"/>
        <v>1.1546583942051578</v>
      </c>
      <c r="T265" s="32">
        <f t="shared" si="64"/>
        <v>763.21875</v>
      </c>
      <c r="U265" s="32">
        <f t="shared" si="65"/>
        <v>3.81609375</v>
      </c>
      <c r="V265" s="2">
        <f t="shared" si="66"/>
        <v>3256.4</v>
      </c>
      <c r="W265" s="2">
        <f t="shared" si="67"/>
        <v>610.575</v>
      </c>
      <c r="X265" s="2">
        <f t="shared" si="68"/>
        <v>5698.7</v>
      </c>
      <c r="Y265" s="2">
        <f t="shared" si="69"/>
        <v>512.8829999999999</v>
      </c>
      <c r="Z265" s="2">
        <f t="shared" si="70"/>
        <v>136.7688</v>
      </c>
      <c r="AA265" s="2">
        <f t="shared" si="71"/>
        <v>1260.2268</v>
      </c>
      <c r="AB265" s="2">
        <f t="shared" si="72"/>
        <v>6.301133999999999</v>
      </c>
    </row>
    <row r="266" spans="1:28" ht="15">
      <c r="A266" s="30" t="str">
        <f t="shared" si="60"/>
        <v>Spray (Direct/Layby)12R-30</v>
      </c>
      <c r="B266" s="47" t="s">
        <v>175</v>
      </c>
      <c r="C266" s="47" t="s">
        <v>213</v>
      </c>
      <c r="D266" s="49">
        <v>30</v>
      </c>
      <c r="E266" s="3">
        <v>7.5</v>
      </c>
      <c r="F266" s="3">
        <v>0.65</v>
      </c>
      <c r="G266" s="84">
        <f t="shared" si="59"/>
        <v>0.05641025641025641</v>
      </c>
      <c r="H266" s="150">
        <v>9168</v>
      </c>
      <c r="I266" s="150">
        <v>40</v>
      </c>
      <c r="J266" s="150">
        <v>75</v>
      </c>
      <c r="K266" s="150">
        <v>8</v>
      </c>
      <c r="L266" s="150">
        <v>200</v>
      </c>
      <c r="M266" s="48">
        <v>0</v>
      </c>
      <c r="N266" s="34">
        <f t="shared" si="61"/>
        <v>1600</v>
      </c>
      <c r="O266" s="28">
        <v>1</v>
      </c>
      <c r="P266" s="41">
        <v>0.27</v>
      </c>
      <c r="Q266" s="41">
        <v>1.4</v>
      </c>
      <c r="R266" s="31">
        <f t="shared" si="62"/>
        <v>260.0640746363564</v>
      </c>
      <c r="S266" s="31">
        <f t="shared" si="63"/>
        <v>1.300320373181782</v>
      </c>
      <c r="T266" s="32">
        <f t="shared" si="64"/>
        <v>859.5</v>
      </c>
      <c r="U266" s="32">
        <f t="shared" si="65"/>
        <v>4.2975</v>
      </c>
      <c r="V266" s="2">
        <f t="shared" si="66"/>
        <v>3667.2</v>
      </c>
      <c r="W266" s="2">
        <f t="shared" si="67"/>
        <v>687.6</v>
      </c>
      <c r="X266" s="2">
        <f t="shared" si="68"/>
        <v>6417.6</v>
      </c>
      <c r="Y266" s="2">
        <f t="shared" si="69"/>
        <v>577.5840000000001</v>
      </c>
      <c r="Z266" s="2">
        <f t="shared" si="70"/>
        <v>154.0224</v>
      </c>
      <c r="AA266" s="2">
        <f t="shared" si="71"/>
        <v>1419.2064</v>
      </c>
      <c r="AB266" s="2">
        <f t="shared" si="72"/>
        <v>7.096032</v>
      </c>
    </row>
    <row r="267" spans="1:28" ht="15">
      <c r="A267" s="30" t="str">
        <f t="shared" si="60"/>
        <v>Spray (Direct/Layby)12R-36</v>
      </c>
      <c r="B267" s="47" t="s">
        <v>175</v>
      </c>
      <c r="C267" s="47" t="s">
        <v>376</v>
      </c>
      <c r="D267" s="49">
        <v>36</v>
      </c>
      <c r="E267" s="3">
        <v>7.5</v>
      </c>
      <c r="F267" s="3">
        <v>0.65</v>
      </c>
      <c r="G267" s="84">
        <f t="shared" si="59"/>
        <v>0.04700854700854701</v>
      </c>
      <c r="H267" s="150">
        <v>13882</v>
      </c>
      <c r="I267" s="150">
        <v>40</v>
      </c>
      <c r="J267" s="150">
        <v>75</v>
      </c>
      <c r="K267" s="150">
        <v>8</v>
      </c>
      <c r="L267" s="150">
        <v>200</v>
      </c>
      <c r="M267" s="48">
        <v>0</v>
      </c>
      <c r="N267" s="34">
        <f t="shared" si="61"/>
        <v>1600</v>
      </c>
      <c r="O267" s="28">
        <v>1</v>
      </c>
      <c r="P267" s="41">
        <v>0.27</v>
      </c>
      <c r="Q267" s="41">
        <v>1.4</v>
      </c>
      <c r="R267" s="31">
        <f t="shared" si="62"/>
        <v>393.7837569919175</v>
      </c>
      <c r="S267" s="31">
        <f t="shared" si="63"/>
        <v>1.9689187849595877</v>
      </c>
      <c r="T267" s="32">
        <f t="shared" si="64"/>
        <v>1301.4375</v>
      </c>
      <c r="U267" s="32">
        <f t="shared" si="65"/>
        <v>6.5071875</v>
      </c>
      <c r="V267" s="2">
        <f t="shared" si="66"/>
        <v>5552.8</v>
      </c>
      <c r="W267" s="2">
        <f t="shared" si="67"/>
        <v>1041.15</v>
      </c>
      <c r="X267" s="2">
        <f t="shared" si="68"/>
        <v>9717.4</v>
      </c>
      <c r="Y267" s="2">
        <f t="shared" si="69"/>
        <v>874.5659999999999</v>
      </c>
      <c r="Z267" s="2">
        <f t="shared" si="70"/>
        <v>233.2176</v>
      </c>
      <c r="AA267" s="2">
        <f t="shared" si="71"/>
        <v>2148.9336000000003</v>
      </c>
      <c r="AB267" s="2">
        <f t="shared" si="72"/>
        <v>10.744668</v>
      </c>
    </row>
    <row r="268" spans="1:28" ht="15">
      <c r="A268" s="30" t="str">
        <f t="shared" si="60"/>
        <v>Spray (Direct/Layby)16R-20</v>
      </c>
      <c r="B268" s="47" t="s">
        <v>175</v>
      </c>
      <c r="C268" s="47" t="s">
        <v>131</v>
      </c>
      <c r="D268" s="49">
        <v>26.7</v>
      </c>
      <c r="E268" s="3">
        <v>7.5</v>
      </c>
      <c r="F268" s="3">
        <v>0.65</v>
      </c>
      <c r="G268" s="84">
        <f t="shared" si="59"/>
        <v>0.0633823105733218</v>
      </c>
      <c r="H268" s="150">
        <v>8768</v>
      </c>
      <c r="I268" s="150">
        <v>40</v>
      </c>
      <c r="J268" s="150">
        <v>75</v>
      </c>
      <c r="K268" s="150">
        <v>8</v>
      </c>
      <c r="L268" s="150">
        <v>200</v>
      </c>
      <c r="M268" s="48">
        <v>0</v>
      </c>
      <c r="N268" s="34">
        <f t="shared" si="61"/>
        <v>1600</v>
      </c>
      <c r="O268" s="28">
        <v>1</v>
      </c>
      <c r="P268" s="41">
        <v>0.27</v>
      </c>
      <c r="Q268" s="41">
        <v>1.4</v>
      </c>
      <c r="R268" s="31">
        <f t="shared" si="62"/>
        <v>248.71747452133215</v>
      </c>
      <c r="S268" s="31">
        <f t="shared" si="63"/>
        <v>1.2435873726066609</v>
      </c>
      <c r="T268" s="32">
        <f t="shared" si="64"/>
        <v>822</v>
      </c>
      <c r="U268" s="32">
        <f t="shared" si="65"/>
        <v>4.11</v>
      </c>
      <c r="V268" s="2">
        <f t="shared" si="66"/>
        <v>3507.2</v>
      </c>
      <c r="W268" s="2">
        <f t="shared" si="67"/>
        <v>657.6</v>
      </c>
      <c r="X268" s="2">
        <f t="shared" si="68"/>
        <v>6137.6</v>
      </c>
      <c r="Y268" s="2">
        <f t="shared" si="69"/>
        <v>552.384</v>
      </c>
      <c r="Z268" s="2">
        <f t="shared" si="70"/>
        <v>147.3024</v>
      </c>
      <c r="AA268" s="2">
        <f t="shared" si="71"/>
        <v>1357.2864</v>
      </c>
      <c r="AB268" s="2">
        <f t="shared" si="72"/>
        <v>6.786432</v>
      </c>
    </row>
    <row r="269" spans="1:28" ht="15">
      <c r="A269" s="30" t="str">
        <f t="shared" si="60"/>
        <v>Spray (Direct/Layby)8R-30</v>
      </c>
      <c r="B269" s="47" t="s">
        <v>175</v>
      </c>
      <c r="C269" s="47" t="s">
        <v>101</v>
      </c>
      <c r="D269" s="49">
        <v>20</v>
      </c>
      <c r="E269" s="3">
        <v>7.5</v>
      </c>
      <c r="F269" s="3">
        <v>0.65</v>
      </c>
      <c r="G269" s="84">
        <f aca="true" t="shared" si="73" ref="G269:G290">1/((D269*E269*5280*F269)/43560)</f>
        <v>0.08461538461538462</v>
      </c>
      <c r="H269" s="150">
        <v>7340</v>
      </c>
      <c r="I269" s="150">
        <v>40</v>
      </c>
      <c r="J269" s="150">
        <v>75</v>
      </c>
      <c r="K269" s="150">
        <v>8</v>
      </c>
      <c r="L269" s="150">
        <v>200</v>
      </c>
      <c r="M269" s="48">
        <v>0</v>
      </c>
      <c r="N269" s="34">
        <f t="shared" si="61"/>
        <v>1600</v>
      </c>
      <c r="O269" s="28">
        <v>1</v>
      </c>
      <c r="P269" s="41">
        <v>0.27</v>
      </c>
      <c r="Q269" s="41">
        <v>1.4</v>
      </c>
      <c r="R269" s="31">
        <f t="shared" si="62"/>
        <v>208.2101121106955</v>
      </c>
      <c r="S269" s="31">
        <f t="shared" si="63"/>
        <v>1.0410505605534774</v>
      </c>
      <c r="T269" s="32">
        <f t="shared" si="64"/>
        <v>688.125</v>
      </c>
      <c r="U269" s="32">
        <f t="shared" si="65"/>
        <v>3.440625</v>
      </c>
      <c r="V269" s="2">
        <f t="shared" si="66"/>
        <v>2936</v>
      </c>
      <c r="W269" s="2">
        <f t="shared" si="67"/>
        <v>550.5</v>
      </c>
      <c r="X269" s="2">
        <f t="shared" si="68"/>
        <v>5138</v>
      </c>
      <c r="Y269" s="2">
        <f t="shared" si="69"/>
        <v>462.41999999999996</v>
      </c>
      <c r="Z269" s="2">
        <f t="shared" si="70"/>
        <v>123.312</v>
      </c>
      <c r="AA269" s="2">
        <f t="shared" si="71"/>
        <v>1136.232</v>
      </c>
      <c r="AB269" s="2">
        <f t="shared" si="72"/>
        <v>5.68116</v>
      </c>
    </row>
    <row r="270" spans="1:28" ht="15">
      <c r="A270" s="30" t="str">
        <f t="shared" si="60"/>
        <v>Spray (Direct/Layby)8R-36</v>
      </c>
      <c r="B270" s="47" t="s">
        <v>175</v>
      </c>
      <c r="C270" s="47" t="s">
        <v>377</v>
      </c>
      <c r="D270" s="49">
        <v>24</v>
      </c>
      <c r="E270" s="3">
        <v>7.5</v>
      </c>
      <c r="F270" s="3">
        <v>0.65</v>
      </c>
      <c r="G270" s="84">
        <f t="shared" si="73"/>
        <v>0.07051282051282051</v>
      </c>
      <c r="H270" s="150">
        <v>7988</v>
      </c>
      <c r="I270" s="150">
        <v>40</v>
      </c>
      <c r="J270" s="150">
        <v>75</v>
      </c>
      <c r="K270" s="150">
        <v>8</v>
      </c>
      <c r="L270" s="150">
        <v>200</v>
      </c>
      <c r="M270" s="48">
        <v>0</v>
      </c>
      <c r="N270" s="34">
        <f t="shared" si="61"/>
        <v>1600</v>
      </c>
      <c r="O270" s="28">
        <v>1</v>
      </c>
      <c r="P270" s="41">
        <v>0.27</v>
      </c>
      <c r="Q270" s="41">
        <v>1.4</v>
      </c>
      <c r="R270" s="31">
        <f t="shared" si="62"/>
        <v>226.59160429703482</v>
      </c>
      <c r="S270" s="31">
        <f t="shared" si="63"/>
        <v>1.132958021485174</v>
      </c>
      <c r="T270" s="32">
        <f t="shared" si="64"/>
        <v>748.875</v>
      </c>
      <c r="U270" s="32">
        <f t="shared" si="65"/>
        <v>3.744375</v>
      </c>
      <c r="V270" s="2">
        <f t="shared" si="66"/>
        <v>3195.2</v>
      </c>
      <c r="W270" s="2">
        <f t="shared" si="67"/>
        <v>599.1</v>
      </c>
      <c r="X270" s="2">
        <f t="shared" si="68"/>
        <v>5591.6</v>
      </c>
      <c r="Y270" s="2">
        <f t="shared" si="69"/>
        <v>503.244</v>
      </c>
      <c r="Z270" s="2">
        <f t="shared" si="70"/>
        <v>134.19840000000002</v>
      </c>
      <c r="AA270" s="2">
        <f t="shared" si="71"/>
        <v>1236.5424</v>
      </c>
      <c r="AB270" s="2">
        <f t="shared" si="72"/>
        <v>6.182712</v>
      </c>
    </row>
    <row r="271" spans="1:28" ht="15">
      <c r="A271" s="30" t="str">
        <f t="shared" si="60"/>
        <v>Spray (Direct/Layby)8R-40 2x1</v>
      </c>
      <c r="B271" s="47" t="s">
        <v>175</v>
      </c>
      <c r="C271" s="47" t="s">
        <v>113</v>
      </c>
      <c r="D271" s="49">
        <v>40</v>
      </c>
      <c r="E271" s="3">
        <v>7.5</v>
      </c>
      <c r="F271" s="3">
        <v>0.65</v>
      </c>
      <c r="G271" s="84">
        <f t="shared" si="73"/>
        <v>0.04230769230769231</v>
      </c>
      <c r="H271" s="150">
        <v>13882</v>
      </c>
      <c r="I271" s="150">
        <v>40</v>
      </c>
      <c r="J271" s="150">
        <v>75</v>
      </c>
      <c r="K271" s="150">
        <v>8</v>
      </c>
      <c r="L271" s="150">
        <v>200</v>
      </c>
      <c r="M271" s="48">
        <v>0</v>
      </c>
      <c r="N271" s="34">
        <f t="shared" si="61"/>
        <v>1600</v>
      </c>
      <c r="O271" s="28">
        <v>1</v>
      </c>
      <c r="P271" s="41">
        <v>0.27</v>
      </c>
      <c r="Q271" s="41">
        <v>1.4</v>
      </c>
      <c r="R271" s="31">
        <f t="shared" si="62"/>
        <v>393.7837569919175</v>
      </c>
      <c r="S271" s="31">
        <f t="shared" si="63"/>
        <v>1.9689187849595877</v>
      </c>
      <c r="T271" s="32">
        <f t="shared" si="64"/>
        <v>1301.4375</v>
      </c>
      <c r="U271" s="32">
        <f t="shared" si="65"/>
        <v>6.5071875</v>
      </c>
      <c r="V271" s="2">
        <f t="shared" si="66"/>
        <v>5552.8</v>
      </c>
      <c r="W271" s="2">
        <f t="shared" si="67"/>
        <v>1041.15</v>
      </c>
      <c r="X271" s="2">
        <f t="shared" si="68"/>
        <v>9717.4</v>
      </c>
      <c r="Y271" s="2">
        <f t="shared" si="69"/>
        <v>874.5659999999999</v>
      </c>
      <c r="Z271" s="2">
        <f t="shared" si="70"/>
        <v>233.2176</v>
      </c>
      <c r="AA271" s="2">
        <f t="shared" si="71"/>
        <v>2148.9336000000003</v>
      </c>
      <c r="AB271" s="2">
        <f t="shared" si="72"/>
        <v>10.744668</v>
      </c>
    </row>
    <row r="272" spans="1:28" ht="15">
      <c r="A272" s="30" t="str">
        <f t="shared" si="60"/>
        <v>Spray (Spot)27'</v>
      </c>
      <c r="B272" s="47" t="s">
        <v>140</v>
      </c>
      <c r="C272" s="47" t="s">
        <v>126</v>
      </c>
      <c r="D272" s="49">
        <v>27</v>
      </c>
      <c r="E272" s="3">
        <v>7.5</v>
      </c>
      <c r="F272" s="3">
        <v>0.65</v>
      </c>
      <c r="G272" s="84">
        <f t="shared" si="73"/>
        <v>0.06267806267806268</v>
      </c>
      <c r="H272" s="150">
        <v>5369</v>
      </c>
      <c r="I272" s="150">
        <v>40</v>
      </c>
      <c r="J272" s="150">
        <v>75</v>
      </c>
      <c r="K272" s="150">
        <v>8</v>
      </c>
      <c r="L272" s="150">
        <v>200</v>
      </c>
      <c r="M272" s="48">
        <v>0</v>
      </c>
      <c r="N272" s="34">
        <f t="shared" si="61"/>
        <v>1600</v>
      </c>
      <c r="O272" s="28">
        <v>1</v>
      </c>
      <c r="P272" s="41">
        <v>0.27</v>
      </c>
      <c r="Q272" s="41">
        <v>1.4</v>
      </c>
      <c r="R272" s="31">
        <f t="shared" si="62"/>
        <v>152.29974004391335</v>
      </c>
      <c r="S272" s="31">
        <f t="shared" si="63"/>
        <v>0.7614987002195668</v>
      </c>
      <c r="T272" s="32">
        <f t="shared" si="64"/>
        <v>503.34375</v>
      </c>
      <c r="U272" s="32">
        <f t="shared" si="65"/>
        <v>2.51671875</v>
      </c>
      <c r="V272" s="2">
        <f t="shared" si="66"/>
        <v>2147.6</v>
      </c>
      <c r="W272" s="2">
        <f t="shared" si="67"/>
        <v>402.675</v>
      </c>
      <c r="X272" s="2">
        <f t="shared" si="68"/>
        <v>3758.3</v>
      </c>
      <c r="Y272" s="2">
        <f t="shared" si="69"/>
        <v>338.247</v>
      </c>
      <c r="Z272" s="2">
        <f t="shared" si="70"/>
        <v>90.1992</v>
      </c>
      <c r="AA272" s="2">
        <f t="shared" si="71"/>
        <v>831.1212</v>
      </c>
      <c r="AB272" s="2">
        <f t="shared" si="72"/>
        <v>4.155606000000001</v>
      </c>
    </row>
    <row r="273" spans="1:28" ht="15">
      <c r="A273" s="30" t="str">
        <f t="shared" si="60"/>
        <v>Spray (Spot)40'</v>
      </c>
      <c r="B273" s="47" t="s">
        <v>140</v>
      </c>
      <c r="C273" s="47" t="s">
        <v>122</v>
      </c>
      <c r="D273" s="49">
        <v>40</v>
      </c>
      <c r="E273" s="3">
        <v>7.5</v>
      </c>
      <c r="F273" s="3">
        <v>0.65</v>
      </c>
      <c r="G273" s="84">
        <f t="shared" si="73"/>
        <v>0.04230769230769231</v>
      </c>
      <c r="H273" s="150">
        <v>5572</v>
      </c>
      <c r="I273" s="150">
        <v>40</v>
      </c>
      <c r="J273" s="150">
        <v>75</v>
      </c>
      <c r="K273" s="150">
        <v>8</v>
      </c>
      <c r="L273" s="150">
        <v>200</v>
      </c>
      <c r="M273" s="48">
        <v>0</v>
      </c>
      <c r="N273" s="34">
        <f t="shared" si="61"/>
        <v>1600</v>
      </c>
      <c r="O273" s="28">
        <v>1</v>
      </c>
      <c r="P273" s="41">
        <v>0.27</v>
      </c>
      <c r="Q273" s="41">
        <v>1.4</v>
      </c>
      <c r="R273" s="31">
        <f t="shared" si="62"/>
        <v>158.05813960228818</v>
      </c>
      <c r="S273" s="31">
        <f t="shared" si="63"/>
        <v>0.7902906980114409</v>
      </c>
      <c r="T273" s="32">
        <f t="shared" si="64"/>
        <v>522.375</v>
      </c>
      <c r="U273" s="32">
        <f t="shared" si="65"/>
        <v>2.611875</v>
      </c>
      <c r="V273" s="2">
        <f t="shared" si="66"/>
        <v>2228.8</v>
      </c>
      <c r="W273" s="2">
        <f t="shared" si="67"/>
        <v>417.9</v>
      </c>
      <c r="X273" s="2">
        <f t="shared" si="68"/>
        <v>3900.4</v>
      </c>
      <c r="Y273" s="2">
        <f t="shared" si="69"/>
        <v>351.036</v>
      </c>
      <c r="Z273" s="2">
        <f t="shared" si="70"/>
        <v>93.6096</v>
      </c>
      <c r="AA273" s="2">
        <f t="shared" si="71"/>
        <v>862.5455999999999</v>
      </c>
      <c r="AB273" s="2">
        <f t="shared" si="72"/>
        <v>4.312728</v>
      </c>
    </row>
    <row r="274" spans="1:28" ht="15">
      <c r="A274" s="30" t="str">
        <f t="shared" si="60"/>
        <v>Spray (Spot)50'</v>
      </c>
      <c r="B274" s="47" t="s">
        <v>140</v>
      </c>
      <c r="C274" s="47" t="s">
        <v>110</v>
      </c>
      <c r="D274" s="49">
        <v>50</v>
      </c>
      <c r="E274" s="3">
        <v>7.5</v>
      </c>
      <c r="F274" s="3">
        <v>0.65</v>
      </c>
      <c r="G274" s="84">
        <f t="shared" si="73"/>
        <v>0.033846153846153845</v>
      </c>
      <c r="H274" s="150">
        <v>5461</v>
      </c>
      <c r="I274" s="150">
        <v>40</v>
      </c>
      <c r="J274" s="150">
        <v>75</v>
      </c>
      <c r="K274" s="150">
        <v>8</v>
      </c>
      <c r="L274" s="150">
        <v>200</v>
      </c>
      <c r="M274" s="48">
        <v>0</v>
      </c>
      <c r="N274" s="34">
        <f t="shared" si="61"/>
        <v>1600</v>
      </c>
      <c r="O274" s="28">
        <v>1</v>
      </c>
      <c r="P274" s="41">
        <v>0.27</v>
      </c>
      <c r="Q274" s="41">
        <v>1.4</v>
      </c>
      <c r="R274" s="31">
        <f t="shared" si="62"/>
        <v>154.90945807036894</v>
      </c>
      <c r="S274" s="31">
        <f t="shared" si="63"/>
        <v>0.7745472903518447</v>
      </c>
      <c r="T274" s="32">
        <f t="shared" si="64"/>
        <v>511.96875</v>
      </c>
      <c r="U274" s="32">
        <f t="shared" si="65"/>
        <v>2.55984375</v>
      </c>
      <c r="V274" s="2">
        <f t="shared" si="66"/>
        <v>2184.4</v>
      </c>
      <c r="W274" s="2">
        <f t="shared" si="67"/>
        <v>409.575</v>
      </c>
      <c r="X274" s="2">
        <f t="shared" si="68"/>
        <v>3822.7</v>
      </c>
      <c r="Y274" s="2">
        <f t="shared" si="69"/>
        <v>344.04299999999995</v>
      </c>
      <c r="Z274" s="2">
        <f t="shared" si="70"/>
        <v>91.7448</v>
      </c>
      <c r="AA274" s="2">
        <f t="shared" si="71"/>
        <v>845.3627999999999</v>
      </c>
      <c r="AB274" s="2">
        <f t="shared" si="72"/>
        <v>4.226813999999999</v>
      </c>
    </row>
    <row r="275" spans="1:28" ht="15">
      <c r="A275" s="30" t="str">
        <f t="shared" si="60"/>
        <v>Spray (Spot)53'</v>
      </c>
      <c r="B275" s="47" t="s">
        <v>140</v>
      </c>
      <c r="C275" s="47" t="s">
        <v>226</v>
      </c>
      <c r="D275" s="49">
        <v>53</v>
      </c>
      <c r="E275" s="3">
        <v>7.5</v>
      </c>
      <c r="F275" s="3">
        <v>0.65</v>
      </c>
      <c r="G275" s="84">
        <f t="shared" si="73"/>
        <v>0.031930333817126275</v>
      </c>
      <c r="H275" s="150">
        <v>6434</v>
      </c>
      <c r="I275" s="150">
        <v>40</v>
      </c>
      <c r="J275" s="150">
        <v>75</v>
      </c>
      <c r="K275" s="150">
        <v>8</v>
      </c>
      <c r="L275" s="150">
        <v>200</v>
      </c>
      <c r="M275" s="48">
        <v>0</v>
      </c>
      <c r="N275" s="34">
        <f t="shared" si="61"/>
        <v>1600</v>
      </c>
      <c r="O275" s="28">
        <v>1</v>
      </c>
      <c r="P275" s="41">
        <v>0.27</v>
      </c>
      <c r="Q275" s="41">
        <v>1.4</v>
      </c>
      <c r="R275" s="31">
        <f t="shared" si="62"/>
        <v>182.5100628501655</v>
      </c>
      <c r="S275" s="31">
        <f t="shared" si="63"/>
        <v>0.9125503142508274</v>
      </c>
      <c r="T275" s="32">
        <f t="shared" si="64"/>
        <v>603.1875</v>
      </c>
      <c r="U275" s="32">
        <f t="shared" si="65"/>
        <v>3.0159375</v>
      </c>
      <c r="V275" s="2">
        <f t="shared" si="66"/>
        <v>2573.6</v>
      </c>
      <c r="W275" s="2">
        <f t="shared" si="67"/>
        <v>482.55</v>
      </c>
      <c r="X275" s="2">
        <f t="shared" si="68"/>
        <v>4503.8</v>
      </c>
      <c r="Y275" s="2">
        <f t="shared" si="69"/>
        <v>405.342</v>
      </c>
      <c r="Z275" s="2">
        <f t="shared" si="70"/>
        <v>108.0912</v>
      </c>
      <c r="AA275" s="2">
        <f t="shared" si="71"/>
        <v>995.9831999999999</v>
      </c>
      <c r="AB275" s="2">
        <f t="shared" si="72"/>
        <v>4.979915999999999</v>
      </c>
    </row>
    <row r="276" spans="1:28" ht="15">
      <c r="A276" s="30" t="str">
        <f t="shared" si="60"/>
        <v>Spray (Spot)60'</v>
      </c>
      <c r="B276" s="47" t="s">
        <v>140</v>
      </c>
      <c r="C276" s="47" t="s">
        <v>139</v>
      </c>
      <c r="D276" s="49">
        <v>60</v>
      </c>
      <c r="E276" s="3">
        <v>7.5</v>
      </c>
      <c r="F276" s="3">
        <v>0.65</v>
      </c>
      <c r="G276" s="84">
        <f t="shared" si="73"/>
        <v>0.028205128205128206</v>
      </c>
      <c r="H276" s="150">
        <v>7479</v>
      </c>
      <c r="I276" s="150">
        <v>40</v>
      </c>
      <c r="J276" s="150">
        <v>75</v>
      </c>
      <c r="K276" s="150">
        <v>8</v>
      </c>
      <c r="L276" s="150">
        <v>200</v>
      </c>
      <c r="M276" s="48">
        <v>0</v>
      </c>
      <c r="N276" s="34">
        <f t="shared" si="61"/>
        <v>1600</v>
      </c>
      <c r="O276" s="28">
        <v>1</v>
      </c>
      <c r="P276" s="41">
        <v>0.27</v>
      </c>
      <c r="Q276" s="41">
        <v>1.4</v>
      </c>
      <c r="R276" s="31">
        <f t="shared" si="62"/>
        <v>212.1530556506664</v>
      </c>
      <c r="S276" s="31">
        <f t="shared" si="63"/>
        <v>1.0607652782533321</v>
      </c>
      <c r="T276" s="32">
        <f t="shared" si="64"/>
        <v>701.15625</v>
      </c>
      <c r="U276" s="32">
        <f t="shared" si="65"/>
        <v>3.50578125</v>
      </c>
      <c r="V276" s="2">
        <f t="shared" si="66"/>
        <v>2991.6</v>
      </c>
      <c r="W276" s="2">
        <f t="shared" si="67"/>
        <v>560.925</v>
      </c>
      <c r="X276" s="2">
        <f t="shared" si="68"/>
        <v>5235.3</v>
      </c>
      <c r="Y276" s="2">
        <f t="shared" si="69"/>
        <v>471.177</v>
      </c>
      <c r="Z276" s="2">
        <f t="shared" si="70"/>
        <v>125.64720000000001</v>
      </c>
      <c r="AA276" s="2">
        <f t="shared" si="71"/>
        <v>1157.7492</v>
      </c>
      <c r="AB276" s="2">
        <f t="shared" si="72"/>
        <v>5.788746</v>
      </c>
    </row>
    <row r="277" spans="1:28" ht="15">
      <c r="A277" s="30" t="str">
        <f t="shared" si="60"/>
        <v>Stalk Shredder14'</v>
      </c>
      <c r="B277" s="47" t="s">
        <v>141</v>
      </c>
      <c r="C277" s="47" t="s">
        <v>109</v>
      </c>
      <c r="D277" s="49">
        <v>14</v>
      </c>
      <c r="E277" s="3">
        <v>6.25</v>
      </c>
      <c r="F277" s="3">
        <v>0.8</v>
      </c>
      <c r="G277" s="84">
        <f t="shared" si="73"/>
        <v>0.11785714285714287</v>
      </c>
      <c r="H277" s="150">
        <v>10277</v>
      </c>
      <c r="I277" s="150">
        <v>30</v>
      </c>
      <c r="J277" s="150">
        <v>175</v>
      </c>
      <c r="K277" s="150">
        <v>10</v>
      </c>
      <c r="L277" s="150">
        <v>200</v>
      </c>
      <c r="M277" s="48">
        <v>0</v>
      </c>
      <c r="N277" s="34">
        <f t="shared" si="61"/>
        <v>2000</v>
      </c>
      <c r="O277" s="28">
        <v>1</v>
      </c>
      <c r="P277" s="41">
        <v>0.27</v>
      </c>
      <c r="Q277" s="41">
        <v>1.4</v>
      </c>
      <c r="R277" s="31">
        <f t="shared" si="62"/>
        <v>291.5225234552612</v>
      </c>
      <c r="S277" s="31">
        <f t="shared" si="63"/>
        <v>1.457612617276306</v>
      </c>
      <c r="T277" s="32">
        <f t="shared" si="64"/>
        <v>1798.475</v>
      </c>
      <c r="U277" s="32">
        <f t="shared" si="65"/>
        <v>8.992375</v>
      </c>
      <c r="V277" s="2">
        <f t="shared" si="66"/>
        <v>3083.1</v>
      </c>
      <c r="W277" s="2">
        <f t="shared" si="67"/>
        <v>719.39</v>
      </c>
      <c r="X277" s="2">
        <f t="shared" si="68"/>
        <v>6680.05</v>
      </c>
      <c r="Y277" s="2">
        <f t="shared" si="69"/>
        <v>601.2044999999999</v>
      </c>
      <c r="Z277" s="2">
        <f t="shared" si="70"/>
        <v>160.3212</v>
      </c>
      <c r="AA277" s="2">
        <f t="shared" si="71"/>
        <v>1480.9157</v>
      </c>
      <c r="AB277" s="2">
        <f t="shared" si="72"/>
        <v>7.4045785</v>
      </c>
    </row>
    <row r="278" spans="1:28" ht="15">
      <c r="A278" s="30" t="str">
        <f t="shared" si="60"/>
        <v>Stalk Shredder20'</v>
      </c>
      <c r="B278" s="47" t="s">
        <v>141</v>
      </c>
      <c r="C278" s="47" t="s">
        <v>107</v>
      </c>
      <c r="D278" s="49">
        <v>20</v>
      </c>
      <c r="E278" s="3">
        <v>6.25</v>
      </c>
      <c r="F278" s="3">
        <v>0.8</v>
      </c>
      <c r="G278" s="84">
        <f t="shared" si="73"/>
        <v>0.0825</v>
      </c>
      <c r="H278" s="150">
        <v>22023</v>
      </c>
      <c r="I278" s="150">
        <v>30</v>
      </c>
      <c r="J278" s="150">
        <v>175</v>
      </c>
      <c r="K278" s="150">
        <v>10</v>
      </c>
      <c r="L278" s="150">
        <v>200</v>
      </c>
      <c r="M278" s="48">
        <v>0</v>
      </c>
      <c r="N278" s="34">
        <f t="shared" si="61"/>
        <v>2000</v>
      </c>
      <c r="O278" s="28">
        <v>1</v>
      </c>
      <c r="P278" s="41">
        <v>0.27</v>
      </c>
      <c r="Q278" s="41">
        <v>1.4</v>
      </c>
      <c r="R278" s="31">
        <f t="shared" si="62"/>
        <v>624.7154358329491</v>
      </c>
      <c r="S278" s="31">
        <f t="shared" si="63"/>
        <v>3.1235771791647453</v>
      </c>
      <c r="T278" s="32">
        <f t="shared" si="64"/>
        <v>3854.025</v>
      </c>
      <c r="U278" s="32">
        <f t="shared" si="65"/>
        <v>19.270125</v>
      </c>
      <c r="V278" s="2">
        <f t="shared" si="66"/>
        <v>6606.9</v>
      </c>
      <c r="W278" s="2">
        <f t="shared" si="67"/>
        <v>1541.6100000000001</v>
      </c>
      <c r="X278" s="2">
        <f t="shared" si="68"/>
        <v>14314.95</v>
      </c>
      <c r="Y278" s="2">
        <f t="shared" si="69"/>
        <v>1288.3455000000001</v>
      </c>
      <c r="Z278" s="2">
        <f t="shared" si="70"/>
        <v>343.5588</v>
      </c>
      <c r="AA278" s="2">
        <f t="shared" si="71"/>
        <v>3173.5143000000003</v>
      </c>
      <c r="AB278" s="2">
        <f t="shared" si="72"/>
        <v>15.867571500000002</v>
      </c>
    </row>
    <row r="279" spans="1:28" ht="15">
      <c r="A279" s="30" t="str">
        <f t="shared" si="60"/>
        <v>Stalk Shredder-Flail12'</v>
      </c>
      <c r="B279" s="47" t="s">
        <v>249</v>
      </c>
      <c r="C279" s="47" t="s">
        <v>92</v>
      </c>
      <c r="D279" s="49">
        <v>12</v>
      </c>
      <c r="E279" s="3">
        <v>6.25</v>
      </c>
      <c r="F279" s="3">
        <v>0.8</v>
      </c>
      <c r="G279" s="84">
        <f t="shared" si="73"/>
        <v>0.1375</v>
      </c>
      <c r="H279" s="150">
        <v>11507</v>
      </c>
      <c r="I279" s="150">
        <v>30</v>
      </c>
      <c r="J279" s="150">
        <v>175</v>
      </c>
      <c r="K279" s="150">
        <v>10</v>
      </c>
      <c r="L279" s="150">
        <v>200</v>
      </c>
      <c r="M279" s="48">
        <v>0</v>
      </c>
      <c r="N279" s="34">
        <f t="shared" si="61"/>
        <v>2000</v>
      </c>
      <c r="O279" s="28">
        <v>1</v>
      </c>
      <c r="P279" s="41">
        <v>0.27</v>
      </c>
      <c r="Q279" s="41">
        <v>1.4</v>
      </c>
      <c r="R279" s="31">
        <f t="shared" si="62"/>
        <v>326.41331880896087</v>
      </c>
      <c r="S279" s="31">
        <f t="shared" si="63"/>
        <v>1.6320665940448043</v>
      </c>
      <c r="T279" s="32">
        <f t="shared" si="64"/>
        <v>2013.725</v>
      </c>
      <c r="U279" s="32">
        <f t="shared" si="65"/>
        <v>10.068624999999999</v>
      </c>
      <c r="V279" s="2">
        <f t="shared" si="66"/>
        <v>3452.1</v>
      </c>
      <c r="W279" s="2">
        <f t="shared" si="67"/>
        <v>805.49</v>
      </c>
      <c r="X279" s="2">
        <f t="shared" si="68"/>
        <v>7479.55</v>
      </c>
      <c r="Y279" s="2">
        <f t="shared" si="69"/>
        <v>673.1595</v>
      </c>
      <c r="Z279" s="2">
        <f t="shared" si="70"/>
        <v>179.50920000000002</v>
      </c>
      <c r="AA279" s="2">
        <f t="shared" si="71"/>
        <v>1658.1587</v>
      </c>
      <c r="AB279" s="2">
        <f t="shared" si="72"/>
        <v>8.2907935</v>
      </c>
    </row>
    <row r="280" spans="1:28" ht="15">
      <c r="A280" s="30" t="str">
        <f t="shared" si="60"/>
        <v>Stalk Shredder-Flail20'</v>
      </c>
      <c r="B280" s="47" t="s">
        <v>249</v>
      </c>
      <c r="C280" s="47" t="s">
        <v>107</v>
      </c>
      <c r="D280" s="49">
        <v>20</v>
      </c>
      <c r="E280" s="3">
        <v>6.25</v>
      </c>
      <c r="F280" s="3">
        <v>0.8</v>
      </c>
      <c r="G280" s="84">
        <f t="shared" si="73"/>
        <v>0.0825</v>
      </c>
      <c r="H280" s="150">
        <v>17931</v>
      </c>
      <c r="I280" s="150">
        <v>30</v>
      </c>
      <c r="J280" s="150">
        <v>175</v>
      </c>
      <c r="K280" s="150">
        <v>10</v>
      </c>
      <c r="L280" s="150">
        <v>200</v>
      </c>
      <c r="M280" s="48">
        <v>0</v>
      </c>
      <c r="N280" s="34">
        <f t="shared" si="61"/>
        <v>2000</v>
      </c>
      <c r="O280" s="28">
        <v>1</v>
      </c>
      <c r="P280" s="41">
        <v>0.27</v>
      </c>
      <c r="Q280" s="41">
        <v>1.4</v>
      </c>
      <c r="R280" s="31">
        <f t="shared" si="62"/>
        <v>508.6397166562507</v>
      </c>
      <c r="S280" s="31">
        <f t="shared" si="63"/>
        <v>2.5431985832812534</v>
      </c>
      <c r="T280" s="32">
        <f t="shared" si="64"/>
        <v>3137.925</v>
      </c>
      <c r="U280" s="32">
        <f t="shared" si="65"/>
        <v>15.689625000000001</v>
      </c>
      <c r="V280" s="2">
        <f t="shared" si="66"/>
        <v>5379.3</v>
      </c>
      <c r="W280" s="2">
        <f t="shared" si="67"/>
        <v>1255.17</v>
      </c>
      <c r="X280" s="2">
        <f t="shared" si="68"/>
        <v>11655.15</v>
      </c>
      <c r="Y280" s="2">
        <f t="shared" si="69"/>
        <v>1048.9634999999998</v>
      </c>
      <c r="Z280" s="2">
        <f t="shared" si="70"/>
        <v>279.7236</v>
      </c>
      <c r="AA280" s="2">
        <f t="shared" si="71"/>
        <v>2583.8571</v>
      </c>
      <c r="AB280" s="2">
        <f t="shared" si="72"/>
        <v>12.9192855</v>
      </c>
    </row>
    <row r="281" spans="1:28" ht="15">
      <c r="A281" s="30" t="str">
        <f t="shared" si="60"/>
        <v>Subsoiler low-till4 shank</v>
      </c>
      <c r="B281" s="47" t="s">
        <v>146</v>
      </c>
      <c r="C281" s="47" t="s">
        <v>145</v>
      </c>
      <c r="D281" s="49">
        <v>12</v>
      </c>
      <c r="E281" s="3">
        <v>4.75</v>
      </c>
      <c r="F281" s="3">
        <v>0.85</v>
      </c>
      <c r="G281" s="84">
        <f t="shared" si="73"/>
        <v>0.17027863777089783</v>
      </c>
      <c r="H281" s="150">
        <v>8415</v>
      </c>
      <c r="I281" s="150">
        <v>30</v>
      </c>
      <c r="J281" s="150">
        <v>50</v>
      </c>
      <c r="K281" s="150">
        <v>15</v>
      </c>
      <c r="L281" s="150">
        <v>100</v>
      </c>
      <c r="M281" s="48">
        <v>0</v>
      </c>
      <c r="N281" s="34">
        <f t="shared" si="61"/>
        <v>1500</v>
      </c>
      <c r="O281" s="28">
        <v>1</v>
      </c>
      <c r="P281" s="41">
        <v>0.27</v>
      </c>
      <c r="Q281" s="41">
        <v>1.4</v>
      </c>
      <c r="R281" s="31">
        <f t="shared" si="62"/>
        <v>90.4519396856074</v>
      </c>
      <c r="S281" s="31">
        <f t="shared" si="63"/>
        <v>0.904519396856074</v>
      </c>
      <c r="T281" s="32">
        <f t="shared" si="64"/>
        <v>280.5</v>
      </c>
      <c r="U281" s="32">
        <f t="shared" si="65"/>
        <v>2.805</v>
      </c>
      <c r="V281" s="2">
        <f t="shared" si="66"/>
        <v>2524.5</v>
      </c>
      <c r="W281" s="2">
        <f t="shared" si="67"/>
        <v>392.7</v>
      </c>
      <c r="X281" s="2">
        <f t="shared" si="68"/>
        <v>5469.75</v>
      </c>
      <c r="Y281" s="2">
        <f t="shared" si="69"/>
        <v>492.2775</v>
      </c>
      <c r="Z281" s="2">
        <f t="shared" si="70"/>
        <v>131.274</v>
      </c>
      <c r="AA281" s="2">
        <f t="shared" si="71"/>
        <v>1016.2515000000001</v>
      </c>
      <c r="AB281" s="2">
        <f t="shared" si="72"/>
        <v>10.162515</v>
      </c>
    </row>
    <row r="282" spans="1:28" ht="15">
      <c r="A282" s="30" t="str">
        <f t="shared" si="60"/>
        <v>Subsoiler low-till6 shank</v>
      </c>
      <c r="B282" s="47" t="s">
        <v>146</v>
      </c>
      <c r="C282" s="47" t="s">
        <v>200</v>
      </c>
      <c r="D282" s="49">
        <v>18</v>
      </c>
      <c r="E282" s="3">
        <v>4.75</v>
      </c>
      <c r="F282" s="3">
        <v>0.85</v>
      </c>
      <c r="G282" s="84">
        <f t="shared" si="73"/>
        <v>0.11351909184726523</v>
      </c>
      <c r="H282" s="150">
        <v>11624</v>
      </c>
      <c r="I282" s="150">
        <v>30</v>
      </c>
      <c r="J282" s="150">
        <v>50</v>
      </c>
      <c r="K282" s="150">
        <v>15</v>
      </c>
      <c r="L282" s="150">
        <v>100</v>
      </c>
      <c r="M282" s="48">
        <v>0</v>
      </c>
      <c r="N282" s="34">
        <f t="shared" si="61"/>
        <v>1500</v>
      </c>
      <c r="O282" s="28">
        <v>1</v>
      </c>
      <c r="P282" s="41">
        <v>0.27</v>
      </c>
      <c r="Q282" s="41">
        <v>1.4</v>
      </c>
      <c r="R282" s="31">
        <f t="shared" si="62"/>
        <v>124.94513926387408</v>
      </c>
      <c r="S282" s="31">
        <f t="shared" si="63"/>
        <v>1.2494513926387407</v>
      </c>
      <c r="T282" s="32">
        <f t="shared" si="64"/>
        <v>387.46666666666664</v>
      </c>
      <c r="U282" s="32">
        <f t="shared" si="65"/>
        <v>3.8746666666666663</v>
      </c>
      <c r="V282" s="2">
        <f t="shared" si="66"/>
        <v>3487.2</v>
      </c>
      <c r="W282" s="2">
        <f t="shared" si="67"/>
        <v>542.4533333333334</v>
      </c>
      <c r="X282" s="2">
        <f t="shared" si="68"/>
        <v>7555.6</v>
      </c>
      <c r="Y282" s="2">
        <f t="shared" si="69"/>
        <v>680.004</v>
      </c>
      <c r="Z282" s="2">
        <f t="shared" si="70"/>
        <v>181.33440000000002</v>
      </c>
      <c r="AA282" s="2">
        <f t="shared" si="71"/>
        <v>1403.7917333333335</v>
      </c>
      <c r="AB282" s="2">
        <f t="shared" si="72"/>
        <v>14.037917333333334</v>
      </c>
    </row>
    <row r="283" spans="1:28" ht="15">
      <c r="A283" s="30" t="str">
        <f t="shared" si="60"/>
        <v>Subsoiler low-till8 shank</v>
      </c>
      <c r="B283" s="47" t="s">
        <v>146</v>
      </c>
      <c r="C283" s="47" t="s">
        <v>217</v>
      </c>
      <c r="D283" s="49">
        <v>24</v>
      </c>
      <c r="E283" s="3">
        <v>4.75</v>
      </c>
      <c r="F283" s="3">
        <v>0.85</v>
      </c>
      <c r="G283" s="84">
        <f t="shared" si="73"/>
        <v>0.08513931888544891</v>
      </c>
      <c r="H283" s="150">
        <v>16226</v>
      </c>
      <c r="I283" s="150">
        <v>30</v>
      </c>
      <c r="J283" s="150">
        <v>50</v>
      </c>
      <c r="K283" s="150">
        <v>15</v>
      </c>
      <c r="L283" s="150">
        <v>100</v>
      </c>
      <c r="M283" s="48">
        <v>0</v>
      </c>
      <c r="N283" s="34">
        <f t="shared" si="61"/>
        <v>1500</v>
      </c>
      <c r="O283" s="28">
        <v>1</v>
      </c>
      <c r="P283" s="41">
        <v>0.27</v>
      </c>
      <c r="Q283" s="41">
        <v>1.4</v>
      </c>
      <c r="R283" s="31">
        <f t="shared" si="62"/>
        <v>174.41154763382838</v>
      </c>
      <c r="S283" s="31">
        <f t="shared" si="63"/>
        <v>1.7441154763382838</v>
      </c>
      <c r="T283" s="32">
        <f t="shared" si="64"/>
        <v>540.8666666666667</v>
      </c>
      <c r="U283" s="32">
        <f t="shared" si="65"/>
        <v>5.408666666666667</v>
      </c>
      <c r="V283" s="2">
        <f t="shared" si="66"/>
        <v>4867.8</v>
      </c>
      <c r="W283" s="2">
        <f t="shared" si="67"/>
        <v>757.2133333333334</v>
      </c>
      <c r="X283" s="2">
        <f t="shared" si="68"/>
        <v>10546.9</v>
      </c>
      <c r="Y283" s="2">
        <f t="shared" si="69"/>
        <v>949.2209999999999</v>
      </c>
      <c r="Z283" s="2">
        <f t="shared" si="70"/>
        <v>253.1256</v>
      </c>
      <c r="AA283" s="2">
        <f t="shared" si="71"/>
        <v>1959.5599333333332</v>
      </c>
      <c r="AB283" s="2">
        <f t="shared" si="72"/>
        <v>19.595599333333332</v>
      </c>
    </row>
    <row r="284" spans="1:28" ht="15">
      <c r="A284" s="30" t="str">
        <f t="shared" si="60"/>
        <v>Subsoiler3 shank</v>
      </c>
      <c r="B284" s="47" t="s">
        <v>142</v>
      </c>
      <c r="C284" s="47" t="s">
        <v>143</v>
      </c>
      <c r="D284" s="49">
        <v>9</v>
      </c>
      <c r="E284" s="3">
        <v>4.75</v>
      </c>
      <c r="F284" s="3">
        <v>0.85</v>
      </c>
      <c r="G284" s="84">
        <f t="shared" si="73"/>
        <v>0.22703818369453047</v>
      </c>
      <c r="H284" s="150">
        <v>3966</v>
      </c>
      <c r="I284" s="150">
        <v>30</v>
      </c>
      <c r="J284" s="150">
        <v>50</v>
      </c>
      <c r="K284" s="150">
        <v>15</v>
      </c>
      <c r="L284" s="150">
        <v>100</v>
      </c>
      <c r="M284" s="48">
        <v>0</v>
      </c>
      <c r="N284" s="34">
        <f t="shared" si="61"/>
        <v>1500</v>
      </c>
      <c r="O284" s="28">
        <v>1</v>
      </c>
      <c r="P284" s="41">
        <v>0.27</v>
      </c>
      <c r="Q284" s="41">
        <v>1.4</v>
      </c>
      <c r="R284" s="31">
        <f t="shared" si="62"/>
        <v>42.63011203720962</v>
      </c>
      <c r="S284" s="31">
        <f t="shared" si="63"/>
        <v>0.4263011203720962</v>
      </c>
      <c r="T284" s="32">
        <f t="shared" si="64"/>
        <v>132.2</v>
      </c>
      <c r="U284" s="32">
        <f t="shared" si="65"/>
        <v>1.3219999999999998</v>
      </c>
      <c r="V284" s="2">
        <f t="shared" si="66"/>
        <v>1189.8</v>
      </c>
      <c r="W284" s="2">
        <f t="shared" si="67"/>
        <v>185.07999999999998</v>
      </c>
      <c r="X284" s="2">
        <f t="shared" si="68"/>
        <v>2577.9</v>
      </c>
      <c r="Y284" s="2">
        <f t="shared" si="69"/>
        <v>232.011</v>
      </c>
      <c r="Z284" s="2">
        <f t="shared" si="70"/>
        <v>61.869600000000005</v>
      </c>
      <c r="AA284" s="2">
        <f t="shared" si="71"/>
        <v>478.9606</v>
      </c>
      <c r="AB284" s="2">
        <f t="shared" si="72"/>
        <v>4.789606</v>
      </c>
    </row>
    <row r="285" spans="1:28" ht="15">
      <c r="A285" s="30" t="str">
        <f t="shared" si="60"/>
        <v>Subsoiler4 shank</v>
      </c>
      <c r="B285" s="47" t="s">
        <v>142</v>
      </c>
      <c r="C285" s="47" t="s">
        <v>145</v>
      </c>
      <c r="D285" s="49">
        <v>12</v>
      </c>
      <c r="E285" s="3">
        <v>4.75</v>
      </c>
      <c r="F285" s="3">
        <v>0.85</v>
      </c>
      <c r="G285" s="84">
        <f t="shared" si="73"/>
        <v>0.17027863777089783</v>
      </c>
      <c r="H285" s="150">
        <v>5324</v>
      </c>
      <c r="I285" s="150">
        <v>30</v>
      </c>
      <c r="J285" s="150">
        <v>50</v>
      </c>
      <c r="K285" s="150">
        <v>15</v>
      </c>
      <c r="L285" s="150">
        <v>100</v>
      </c>
      <c r="M285" s="48">
        <v>0</v>
      </c>
      <c r="N285" s="34">
        <f t="shared" si="61"/>
        <v>1500</v>
      </c>
      <c r="O285" s="28">
        <v>1</v>
      </c>
      <c r="P285" s="41">
        <v>0.27</v>
      </c>
      <c r="Q285" s="41">
        <v>1.4</v>
      </c>
      <c r="R285" s="31">
        <f t="shared" si="62"/>
        <v>57.22710955272416</v>
      </c>
      <c r="S285" s="31">
        <f t="shared" si="63"/>
        <v>0.5722710955272415</v>
      </c>
      <c r="T285" s="32">
        <f t="shared" si="64"/>
        <v>177.46666666666667</v>
      </c>
      <c r="U285" s="32">
        <f t="shared" si="65"/>
        <v>1.7746666666666666</v>
      </c>
      <c r="V285" s="2">
        <f t="shared" si="66"/>
        <v>1597.2</v>
      </c>
      <c r="W285" s="2">
        <f t="shared" si="67"/>
        <v>248.45333333333335</v>
      </c>
      <c r="X285" s="2">
        <f t="shared" si="68"/>
        <v>3460.6</v>
      </c>
      <c r="Y285" s="2">
        <f t="shared" si="69"/>
        <v>311.454</v>
      </c>
      <c r="Z285" s="2">
        <f t="shared" si="70"/>
        <v>83.0544</v>
      </c>
      <c r="AA285" s="2">
        <f t="shared" si="71"/>
        <v>642.9617333333333</v>
      </c>
      <c r="AB285" s="2">
        <f t="shared" si="72"/>
        <v>6.429617333333333</v>
      </c>
    </row>
    <row r="286" spans="1:28" ht="15">
      <c r="A286" s="30" t="str">
        <f t="shared" si="60"/>
        <v>Subsoiler5 shank</v>
      </c>
      <c r="B286" s="47" t="s">
        <v>142</v>
      </c>
      <c r="C286" s="47" t="s">
        <v>144</v>
      </c>
      <c r="D286" s="49">
        <v>15</v>
      </c>
      <c r="E286" s="3">
        <v>4.75</v>
      </c>
      <c r="F286" s="3">
        <v>0.85</v>
      </c>
      <c r="G286" s="84">
        <f t="shared" si="73"/>
        <v>0.13622291021671826</v>
      </c>
      <c r="H286" s="150">
        <v>6056</v>
      </c>
      <c r="I286" s="150">
        <v>30</v>
      </c>
      <c r="J286" s="150">
        <v>50</v>
      </c>
      <c r="K286" s="150">
        <v>15</v>
      </c>
      <c r="L286" s="150">
        <v>100</v>
      </c>
      <c r="M286" s="48">
        <v>0</v>
      </c>
      <c r="N286" s="34">
        <f t="shared" si="61"/>
        <v>1500</v>
      </c>
      <c r="O286" s="28">
        <v>1</v>
      </c>
      <c r="P286" s="41">
        <v>0.27</v>
      </c>
      <c r="Q286" s="41">
        <v>1.4</v>
      </c>
      <c r="R286" s="31">
        <f t="shared" si="62"/>
        <v>65.09529967154349</v>
      </c>
      <c r="S286" s="31">
        <f t="shared" si="63"/>
        <v>0.6509529967154348</v>
      </c>
      <c r="T286" s="32">
        <f t="shared" si="64"/>
        <v>201.86666666666667</v>
      </c>
      <c r="U286" s="32">
        <f t="shared" si="65"/>
        <v>2.018666666666667</v>
      </c>
      <c r="V286" s="2">
        <f t="shared" si="66"/>
        <v>1816.8</v>
      </c>
      <c r="W286" s="2">
        <f t="shared" si="67"/>
        <v>282.61333333333334</v>
      </c>
      <c r="X286" s="2">
        <f t="shared" si="68"/>
        <v>3936.4</v>
      </c>
      <c r="Y286" s="2">
        <f t="shared" si="69"/>
        <v>354.276</v>
      </c>
      <c r="Z286" s="2">
        <f t="shared" si="70"/>
        <v>94.4736</v>
      </c>
      <c r="AA286" s="2">
        <f t="shared" si="71"/>
        <v>731.3629333333333</v>
      </c>
      <c r="AB286" s="2">
        <f t="shared" si="72"/>
        <v>7.313629333333333</v>
      </c>
    </row>
    <row r="287" spans="1:28" ht="15">
      <c r="A287" s="30" t="str">
        <f t="shared" si="60"/>
        <v>TerraTill Bed w/roll4R30</v>
      </c>
      <c r="B287" s="47" t="s">
        <v>204</v>
      </c>
      <c r="C287" s="47" t="s">
        <v>228</v>
      </c>
      <c r="D287" s="49">
        <v>10</v>
      </c>
      <c r="E287" s="3">
        <v>4.75</v>
      </c>
      <c r="F287" s="3">
        <v>0.85</v>
      </c>
      <c r="G287" s="84">
        <f t="shared" si="73"/>
        <v>0.20433436532507743</v>
      </c>
      <c r="H287" s="150">
        <v>11308</v>
      </c>
      <c r="I287" s="150">
        <v>30</v>
      </c>
      <c r="J287" s="150">
        <v>65</v>
      </c>
      <c r="K287" s="150">
        <v>12</v>
      </c>
      <c r="L287" s="150">
        <v>150</v>
      </c>
      <c r="M287" s="48">
        <v>0</v>
      </c>
      <c r="N287" s="34">
        <f t="shared" si="61"/>
        <v>1800</v>
      </c>
      <c r="O287" s="28">
        <v>1</v>
      </c>
      <c r="P287" s="41">
        <v>0.27</v>
      </c>
      <c r="Q287" s="41">
        <v>1.4</v>
      </c>
      <c r="R287" s="31">
        <f t="shared" si="62"/>
        <v>214.42594199532414</v>
      </c>
      <c r="S287" s="31">
        <f t="shared" si="63"/>
        <v>1.4295062799688276</v>
      </c>
      <c r="T287" s="32">
        <f t="shared" si="64"/>
        <v>612.5166666666667</v>
      </c>
      <c r="U287" s="32">
        <f t="shared" si="65"/>
        <v>4.083444444444444</v>
      </c>
      <c r="V287" s="2">
        <f t="shared" si="66"/>
        <v>3392.4</v>
      </c>
      <c r="W287" s="2">
        <f t="shared" si="67"/>
        <v>659.6333333333333</v>
      </c>
      <c r="X287" s="2">
        <f t="shared" si="68"/>
        <v>7350.2</v>
      </c>
      <c r="Y287" s="2">
        <f t="shared" si="69"/>
        <v>661.5179999999999</v>
      </c>
      <c r="Z287" s="2">
        <f t="shared" si="70"/>
        <v>176.4048</v>
      </c>
      <c r="AA287" s="2">
        <f t="shared" si="71"/>
        <v>1497.5561333333333</v>
      </c>
      <c r="AB287" s="2">
        <f t="shared" si="72"/>
        <v>9.983707555555554</v>
      </c>
    </row>
    <row r="288" spans="1:28" ht="15">
      <c r="A288" s="30" t="str">
        <f t="shared" si="60"/>
        <v>TerraTill Bed w/roll4R-36</v>
      </c>
      <c r="B288" s="47" t="s">
        <v>204</v>
      </c>
      <c r="C288" s="47" t="s">
        <v>373</v>
      </c>
      <c r="D288" s="49">
        <v>12</v>
      </c>
      <c r="E288" s="3">
        <v>4.75</v>
      </c>
      <c r="F288" s="3">
        <v>0.85</v>
      </c>
      <c r="G288" s="84">
        <f t="shared" si="73"/>
        <v>0.17027863777089783</v>
      </c>
      <c r="H288" s="150">
        <v>11308</v>
      </c>
      <c r="I288" s="150">
        <v>30</v>
      </c>
      <c r="J288" s="150">
        <v>65</v>
      </c>
      <c r="K288" s="150">
        <v>12</v>
      </c>
      <c r="L288" s="150">
        <v>150</v>
      </c>
      <c r="M288" s="48">
        <v>0</v>
      </c>
      <c r="N288" s="34">
        <f t="shared" si="61"/>
        <v>1800</v>
      </c>
      <c r="O288" s="28">
        <v>1</v>
      </c>
      <c r="P288" s="41">
        <v>0.27</v>
      </c>
      <c r="Q288" s="41">
        <v>1.4</v>
      </c>
      <c r="R288" s="31">
        <f t="shared" si="62"/>
        <v>214.42594199532414</v>
      </c>
      <c r="S288" s="31">
        <f t="shared" si="63"/>
        <v>1.4295062799688276</v>
      </c>
      <c r="T288" s="32">
        <f t="shared" si="64"/>
        <v>612.5166666666667</v>
      </c>
      <c r="U288" s="32">
        <f t="shared" si="65"/>
        <v>4.083444444444444</v>
      </c>
      <c r="V288" s="2">
        <f t="shared" si="66"/>
        <v>3392.4</v>
      </c>
      <c r="W288" s="2">
        <f t="shared" si="67"/>
        <v>659.6333333333333</v>
      </c>
      <c r="X288" s="2">
        <f t="shared" si="68"/>
        <v>7350.2</v>
      </c>
      <c r="Y288" s="2">
        <f t="shared" si="69"/>
        <v>661.5179999999999</v>
      </c>
      <c r="Z288" s="2">
        <f t="shared" si="70"/>
        <v>176.4048</v>
      </c>
      <c r="AA288" s="2">
        <f t="shared" si="71"/>
        <v>1497.5561333333333</v>
      </c>
      <c r="AB288" s="2">
        <f t="shared" si="72"/>
        <v>9.983707555555554</v>
      </c>
    </row>
    <row r="289" spans="1:28" ht="15">
      <c r="A289" s="30" t="str">
        <f t="shared" si="60"/>
        <v>TerraTill Bed w/roll6R30</v>
      </c>
      <c r="B289" s="47" t="s">
        <v>204</v>
      </c>
      <c r="C289" s="47" t="s">
        <v>229</v>
      </c>
      <c r="D289" s="49">
        <v>15</v>
      </c>
      <c r="E289" s="3">
        <v>4.75</v>
      </c>
      <c r="F289" s="3">
        <v>0.85</v>
      </c>
      <c r="G289" s="84">
        <f t="shared" si="73"/>
        <v>0.13622291021671826</v>
      </c>
      <c r="H289" s="150">
        <v>15310</v>
      </c>
      <c r="I289" s="150">
        <v>30</v>
      </c>
      <c r="J289" s="150">
        <v>65</v>
      </c>
      <c r="K289" s="150">
        <v>12</v>
      </c>
      <c r="L289" s="150">
        <v>150</v>
      </c>
      <c r="M289" s="48">
        <v>0</v>
      </c>
      <c r="N289" s="34">
        <f t="shared" si="61"/>
        <v>1800</v>
      </c>
      <c r="O289" s="28">
        <v>1</v>
      </c>
      <c r="P289" s="41">
        <v>0.27</v>
      </c>
      <c r="Q289" s="41">
        <v>1.4</v>
      </c>
      <c r="R289" s="31">
        <f t="shared" si="62"/>
        <v>290.313156344925</v>
      </c>
      <c r="S289" s="31">
        <f t="shared" si="63"/>
        <v>1.9354210422995</v>
      </c>
      <c r="T289" s="32">
        <f t="shared" si="64"/>
        <v>829.2916666666666</v>
      </c>
      <c r="U289" s="32">
        <f t="shared" si="65"/>
        <v>5.528611111111111</v>
      </c>
      <c r="V289" s="2">
        <f t="shared" si="66"/>
        <v>4593</v>
      </c>
      <c r="W289" s="2">
        <f t="shared" si="67"/>
        <v>893.0833333333334</v>
      </c>
      <c r="X289" s="2">
        <f t="shared" si="68"/>
        <v>9951.5</v>
      </c>
      <c r="Y289" s="2">
        <f t="shared" si="69"/>
        <v>895.635</v>
      </c>
      <c r="Z289" s="2">
        <f t="shared" si="70"/>
        <v>238.836</v>
      </c>
      <c r="AA289" s="2">
        <f t="shared" si="71"/>
        <v>2027.5543333333335</v>
      </c>
      <c r="AB289" s="2">
        <f t="shared" si="72"/>
        <v>13.51702888888889</v>
      </c>
    </row>
    <row r="290" spans="1:28" ht="15">
      <c r="A290" s="30" t="str">
        <f t="shared" si="60"/>
        <v>TerraTill Bed w/roll6R-36</v>
      </c>
      <c r="B290" s="47" t="s">
        <v>204</v>
      </c>
      <c r="C290" s="47" t="s">
        <v>374</v>
      </c>
      <c r="D290" s="49">
        <v>18</v>
      </c>
      <c r="E290" s="3">
        <v>4.75</v>
      </c>
      <c r="F290" s="3">
        <v>0.85</v>
      </c>
      <c r="G290" s="84">
        <f t="shared" si="73"/>
        <v>0.11351909184726523</v>
      </c>
      <c r="H290" s="150">
        <v>15310</v>
      </c>
      <c r="I290" s="150">
        <v>30</v>
      </c>
      <c r="J290" s="150">
        <v>65</v>
      </c>
      <c r="K290" s="150">
        <v>12</v>
      </c>
      <c r="L290" s="150">
        <v>150</v>
      </c>
      <c r="M290" s="48">
        <v>0</v>
      </c>
      <c r="N290" s="34">
        <f t="shared" si="61"/>
        <v>1800</v>
      </c>
      <c r="O290" s="28">
        <v>1</v>
      </c>
      <c r="P290" s="41">
        <v>0.27</v>
      </c>
      <c r="Q290" s="41">
        <v>1.4</v>
      </c>
      <c r="R290" s="31">
        <f t="shared" si="62"/>
        <v>290.313156344925</v>
      </c>
      <c r="S290" s="31">
        <f t="shared" si="63"/>
        <v>1.9354210422995</v>
      </c>
      <c r="T290" s="32">
        <f t="shared" si="64"/>
        <v>829.2916666666666</v>
      </c>
      <c r="U290" s="32">
        <f t="shared" si="65"/>
        <v>5.528611111111111</v>
      </c>
      <c r="V290" s="2">
        <f t="shared" si="66"/>
        <v>4593</v>
      </c>
      <c r="W290" s="2">
        <f t="shared" si="67"/>
        <v>893.0833333333334</v>
      </c>
      <c r="X290" s="2">
        <f t="shared" si="68"/>
        <v>9951.5</v>
      </c>
      <c r="Y290" s="2">
        <f t="shared" si="69"/>
        <v>895.635</v>
      </c>
      <c r="Z290" s="2">
        <f t="shared" si="70"/>
        <v>238.836</v>
      </c>
      <c r="AA290" s="2">
        <f t="shared" si="71"/>
        <v>2027.5543333333335</v>
      </c>
      <c r="AB290" s="2">
        <f t="shared" si="72"/>
        <v>13.51702888888889</v>
      </c>
    </row>
    <row r="291" ht="15">
      <c r="A291" s="30">
        <f t="shared" si="60"/>
      </c>
    </row>
    <row r="292" ht="15">
      <c r="A292" s="30">
        <f t="shared" si="60"/>
      </c>
    </row>
    <row r="293" ht="15">
      <c r="A293" s="30">
        <f t="shared" si="60"/>
      </c>
    </row>
    <row r="294" ht="15">
      <c r="A294" s="30">
        <f t="shared" si="60"/>
      </c>
    </row>
    <row r="295" ht="15">
      <c r="A295" s="30">
        <f t="shared" si="60"/>
      </c>
    </row>
    <row r="296" ht="15">
      <c r="A296" s="30">
        <f t="shared" si="60"/>
      </c>
    </row>
    <row r="297" ht="15">
      <c r="A297" s="30">
        <f t="shared" si="60"/>
      </c>
    </row>
    <row r="298" ht="15">
      <c r="A298" s="30">
        <f t="shared" si="60"/>
      </c>
    </row>
    <row r="299" ht="15">
      <c r="A299" s="30">
        <f t="shared" si="60"/>
      </c>
    </row>
    <row r="300" ht="15">
      <c r="A300" s="30">
        <f t="shared" si="60"/>
      </c>
    </row>
    <row r="301" ht="15">
      <c r="A301" s="30">
        <f t="shared" si="60"/>
      </c>
    </row>
    <row r="302" ht="15">
      <c r="A302" s="30">
        <f t="shared" si="60"/>
      </c>
    </row>
    <row r="303" ht="15">
      <c r="A303" s="30">
        <f t="shared" si="60"/>
      </c>
    </row>
    <row r="304" spans="1:22" ht="15">
      <c r="A304" s="30">
        <v>1</v>
      </c>
      <c r="B304" s="54">
        <v>2</v>
      </c>
      <c r="N304" s="221" t="s">
        <v>81</v>
      </c>
      <c r="O304" s="221"/>
      <c r="P304" s="221"/>
      <c r="Q304" s="221"/>
      <c r="R304" s="221"/>
      <c r="S304" s="221"/>
      <c r="T304" s="222" t="s">
        <v>82</v>
      </c>
      <c r="U304" s="222"/>
      <c r="V304" s="58" t="s">
        <v>312</v>
      </c>
    </row>
    <row r="305" spans="1:28" ht="30">
      <c r="A305" s="58" t="s">
        <v>253</v>
      </c>
      <c r="B305" s="35" t="s">
        <v>47</v>
      </c>
      <c r="C305" s="35" t="s">
        <v>48</v>
      </c>
      <c r="D305" s="35"/>
      <c r="E305" s="35"/>
      <c r="F305" s="35"/>
      <c r="G305" s="35"/>
      <c r="H305" s="35" t="s">
        <v>50</v>
      </c>
      <c r="I305" s="35" t="s">
        <v>51</v>
      </c>
      <c r="J305" s="35" t="s">
        <v>52</v>
      </c>
      <c r="K305" s="35" t="s">
        <v>53</v>
      </c>
      <c r="L305" s="35" t="s">
        <v>54</v>
      </c>
      <c r="M305" s="36" t="s">
        <v>59</v>
      </c>
      <c r="N305" s="38" t="s">
        <v>55</v>
      </c>
      <c r="O305" s="38" t="s">
        <v>56</v>
      </c>
      <c r="P305" s="38" t="s">
        <v>57</v>
      </c>
      <c r="Q305" s="38" t="s">
        <v>58</v>
      </c>
      <c r="R305" s="39" t="s">
        <v>88</v>
      </c>
      <c r="S305" s="39" t="s">
        <v>89</v>
      </c>
      <c r="T305" s="40" t="s">
        <v>90</v>
      </c>
      <c r="U305" s="40" t="s">
        <v>91</v>
      </c>
      <c r="V305" s="65" t="s">
        <v>314</v>
      </c>
      <c r="W305" s="66" t="s">
        <v>315</v>
      </c>
      <c r="X305" s="66" t="s">
        <v>319</v>
      </c>
      <c r="Y305" s="66" t="s">
        <v>316</v>
      </c>
      <c r="Z305" s="66" t="s">
        <v>317</v>
      </c>
      <c r="AA305" s="66" t="s">
        <v>320</v>
      </c>
      <c r="AB305" s="66" t="s">
        <v>321</v>
      </c>
    </row>
    <row r="306" spans="1:28" ht="15">
      <c r="A306" s="58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8"/>
      <c r="O306" s="38"/>
      <c r="P306" s="38"/>
      <c r="Q306" s="38"/>
      <c r="R306" s="39"/>
      <c r="S306" s="39"/>
      <c r="T306" s="40"/>
      <c r="U306" s="40"/>
      <c r="V306" s="29"/>
      <c r="W306" s="27"/>
      <c r="X306" s="27"/>
      <c r="Y306" s="27"/>
      <c r="Z306" s="27"/>
      <c r="AA306" s="27"/>
      <c r="AB306" s="27"/>
    </row>
    <row r="307" spans="1:28" ht="15">
      <c r="A307" s="30" t="str">
        <f aca="true" t="shared" si="74" ref="A307:A313">+CONCATENATE(B307," ",C307)</f>
        <v>Boll Buggy 2R 40"</v>
      </c>
      <c r="B307" s="47" t="s">
        <v>359</v>
      </c>
      <c r="C307" s="47" t="s">
        <v>360</v>
      </c>
      <c r="D307" s="49">
        <f>2*3.33333333333333</f>
        <v>6.666666666666667</v>
      </c>
      <c r="E307" s="3">
        <v>3.6</v>
      </c>
      <c r="F307" s="3">
        <v>0.7</v>
      </c>
      <c r="G307" s="84">
        <f aca="true" t="shared" si="75" ref="G307:G331">+(D307*E307*5280*F307/100)/43560</f>
        <v>0.02036363636363636</v>
      </c>
      <c r="H307" s="47">
        <v>25614</v>
      </c>
      <c r="I307" s="150">
        <v>35</v>
      </c>
      <c r="J307" s="150">
        <v>50</v>
      </c>
      <c r="K307" s="150">
        <v>10</v>
      </c>
      <c r="L307" s="150">
        <v>200</v>
      </c>
      <c r="N307" s="34">
        <f aca="true" t="shared" si="76" ref="N307:N315">+K307*L307</f>
        <v>2000</v>
      </c>
      <c r="O307" s="28">
        <v>1</v>
      </c>
      <c r="P307" s="41">
        <v>0.32</v>
      </c>
      <c r="Q307" s="41">
        <v>2.1</v>
      </c>
      <c r="R307" s="31">
        <f aca="true" t="shared" si="77" ref="R307:R315">+(P307*H307)*((O307*L307/1000)^Q307)</f>
        <v>279.1196259257265</v>
      </c>
      <c r="S307" s="31">
        <f aca="true" t="shared" si="78" ref="S307:S315">+R307/L307</f>
        <v>1.3955981296286324</v>
      </c>
      <c r="T307" s="32">
        <f aca="true" t="shared" si="79" ref="T307:T315">+(H307*J307/100)/K307</f>
        <v>1280.7</v>
      </c>
      <c r="U307" s="32">
        <f aca="true" t="shared" si="80" ref="U307:U315">+T307/L307</f>
        <v>6.4035</v>
      </c>
      <c r="V307" s="2">
        <f aca="true" t="shared" si="81" ref="V307:V315">+(H307*I307/100)</f>
        <v>8964.9</v>
      </c>
      <c r="W307" s="2">
        <f aca="true" t="shared" si="82" ref="W307:W315">+(H307-V307)/K307</f>
        <v>1664.9099999999999</v>
      </c>
      <c r="X307" s="2">
        <f aca="true" t="shared" si="83" ref="X307:X315">+(V307+H307)/2</f>
        <v>17289.45</v>
      </c>
      <c r="Y307" s="2">
        <f aca="true" t="shared" si="84" ref="Y307:Y315">+X307*iir</f>
        <v>1556.0505</v>
      </c>
      <c r="Z307" s="2">
        <f aca="true" t="shared" si="85" ref="Z307:Z315">+X307*ins_tax</f>
        <v>414.94680000000005</v>
      </c>
      <c r="AA307" s="2">
        <f aca="true" t="shared" si="86" ref="AA307:AA315">+Z307+Y307+W307</f>
        <v>3635.9073</v>
      </c>
      <c r="AB307" s="2">
        <f aca="true" t="shared" si="87" ref="AB307:AB315">+AA307/L307</f>
        <v>18.179536499999998</v>
      </c>
    </row>
    <row r="308" spans="1:28" ht="15">
      <c r="A308" s="30" t="str">
        <f t="shared" si="74"/>
        <v>Boll Buggy 4R 30"</v>
      </c>
      <c r="B308" s="47" t="s">
        <v>359</v>
      </c>
      <c r="C308" s="47" t="s">
        <v>361</v>
      </c>
      <c r="D308" s="49">
        <f>4*2.5</f>
        <v>10</v>
      </c>
      <c r="E308" s="3">
        <v>3.6</v>
      </c>
      <c r="F308" s="3">
        <v>0.7</v>
      </c>
      <c r="G308" s="84">
        <f t="shared" si="75"/>
        <v>0.030545454545454546</v>
      </c>
      <c r="H308" s="150">
        <v>25614</v>
      </c>
      <c r="I308" s="150">
        <v>35</v>
      </c>
      <c r="J308" s="150">
        <v>50</v>
      </c>
      <c r="K308" s="150">
        <v>10</v>
      </c>
      <c r="L308" s="150">
        <v>200</v>
      </c>
      <c r="N308" s="34">
        <f t="shared" si="76"/>
        <v>2000</v>
      </c>
      <c r="O308" s="28">
        <v>1</v>
      </c>
      <c r="P308" s="41">
        <v>0.32</v>
      </c>
      <c r="Q308" s="41">
        <v>2.1</v>
      </c>
      <c r="R308" s="31">
        <f t="shared" si="77"/>
        <v>279.1196259257265</v>
      </c>
      <c r="S308" s="31">
        <f t="shared" si="78"/>
        <v>1.3955981296286324</v>
      </c>
      <c r="T308" s="32">
        <f t="shared" si="79"/>
        <v>1280.7</v>
      </c>
      <c r="U308" s="32">
        <f t="shared" si="80"/>
        <v>6.4035</v>
      </c>
      <c r="V308" s="2">
        <f t="shared" si="81"/>
        <v>8964.9</v>
      </c>
      <c r="W308" s="2">
        <f t="shared" si="82"/>
        <v>1664.9099999999999</v>
      </c>
      <c r="X308" s="2">
        <f t="shared" si="83"/>
        <v>17289.45</v>
      </c>
      <c r="Y308" s="2">
        <f t="shared" si="84"/>
        <v>1556.0505</v>
      </c>
      <c r="Z308" s="2">
        <f t="shared" si="85"/>
        <v>414.94680000000005</v>
      </c>
      <c r="AA308" s="2">
        <f t="shared" si="86"/>
        <v>3635.9073</v>
      </c>
      <c r="AB308" s="2">
        <f t="shared" si="87"/>
        <v>18.179536499999998</v>
      </c>
    </row>
    <row r="309" spans="1:28" ht="15">
      <c r="A309" s="30" t="str">
        <f t="shared" si="74"/>
        <v>Boll Buggy 4R 40"</v>
      </c>
      <c r="B309" s="47" t="s">
        <v>359</v>
      </c>
      <c r="C309" s="47" t="s">
        <v>362</v>
      </c>
      <c r="D309" s="49">
        <f>4*3.33333333333333</f>
        <v>13.333333333333334</v>
      </c>
      <c r="E309" s="3">
        <v>3.6</v>
      </c>
      <c r="F309" s="3">
        <v>0.7</v>
      </c>
      <c r="G309" s="84">
        <f t="shared" si="75"/>
        <v>0.04072727272727272</v>
      </c>
      <c r="H309" s="150">
        <v>25614</v>
      </c>
      <c r="I309" s="150">
        <v>35</v>
      </c>
      <c r="J309" s="150">
        <v>50</v>
      </c>
      <c r="K309" s="150">
        <v>10</v>
      </c>
      <c r="L309" s="150">
        <v>200</v>
      </c>
      <c r="N309" s="34">
        <f t="shared" si="76"/>
        <v>2000</v>
      </c>
      <c r="O309" s="28">
        <v>1</v>
      </c>
      <c r="P309" s="41">
        <v>0.32</v>
      </c>
      <c r="Q309" s="41">
        <v>2.1</v>
      </c>
      <c r="R309" s="31">
        <f t="shared" si="77"/>
        <v>279.1196259257265</v>
      </c>
      <c r="S309" s="31">
        <f t="shared" si="78"/>
        <v>1.3955981296286324</v>
      </c>
      <c r="T309" s="32">
        <f t="shared" si="79"/>
        <v>1280.7</v>
      </c>
      <c r="U309" s="32">
        <f t="shared" si="80"/>
        <v>6.4035</v>
      </c>
      <c r="V309" s="2">
        <f t="shared" si="81"/>
        <v>8964.9</v>
      </c>
      <c r="W309" s="2">
        <f t="shared" si="82"/>
        <v>1664.9099999999999</v>
      </c>
      <c r="X309" s="2">
        <f t="shared" si="83"/>
        <v>17289.45</v>
      </c>
      <c r="Y309" s="2">
        <f t="shared" si="84"/>
        <v>1556.0505</v>
      </c>
      <c r="Z309" s="2">
        <f t="shared" si="85"/>
        <v>414.94680000000005</v>
      </c>
      <c r="AA309" s="2">
        <f t="shared" si="86"/>
        <v>3635.9073</v>
      </c>
      <c r="AB309" s="2">
        <f t="shared" si="87"/>
        <v>18.179536499999998</v>
      </c>
    </row>
    <row r="310" spans="1:28" ht="15">
      <c r="A310" s="30" t="str">
        <f t="shared" si="74"/>
        <v>Boll Buggy 5R 30"</v>
      </c>
      <c r="B310" s="47" t="s">
        <v>359</v>
      </c>
      <c r="C310" s="47" t="s">
        <v>363</v>
      </c>
      <c r="D310" s="49">
        <f>5*2.5</f>
        <v>12.5</v>
      </c>
      <c r="E310" s="3">
        <v>3.6</v>
      </c>
      <c r="F310" s="3">
        <v>0.7</v>
      </c>
      <c r="G310" s="84">
        <f t="shared" si="75"/>
        <v>0.038181818181818185</v>
      </c>
      <c r="H310" s="150">
        <v>25614</v>
      </c>
      <c r="I310" s="150">
        <v>35</v>
      </c>
      <c r="J310" s="150">
        <v>50</v>
      </c>
      <c r="K310" s="150">
        <v>10</v>
      </c>
      <c r="L310" s="150">
        <v>200</v>
      </c>
      <c r="N310" s="34">
        <f t="shared" si="76"/>
        <v>2000</v>
      </c>
      <c r="O310" s="28">
        <v>1</v>
      </c>
      <c r="P310" s="41">
        <v>0.32</v>
      </c>
      <c r="Q310" s="41">
        <v>2.1</v>
      </c>
      <c r="R310" s="31">
        <f t="shared" si="77"/>
        <v>279.1196259257265</v>
      </c>
      <c r="S310" s="31">
        <f t="shared" si="78"/>
        <v>1.3955981296286324</v>
      </c>
      <c r="T310" s="32">
        <f t="shared" si="79"/>
        <v>1280.7</v>
      </c>
      <c r="U310" s="32">
        <f t="shared" si="80"/>
        <v>6.4035</v>
      </c>
      <c r="V310" s="2">
        <f t="shared" si="81"/>
        <v>8964.9</v>
      </c>
      <c r="W310" s="2">
        <f t="shared" si="82"/>
        <v>1664.9099999999999</v>
      </c>
      <c r="X310" s="2">
        <f t="shared" si="83"/>
        <v>17289.45</v>
      </c>
      <c r="Y310" s="2">
        <f t="shared" si="84"/>
        <v>1556.0505</v>
      </c>
      <c r="Z310" s="2">
        <f t="shared" si="85"/>
        <v>414.94680000000005</v>
      </c>
      <c r="AA310" s="2">
        <f t="shared" si="86"/>
        <v>3635.9073</v>
      </c>
      <c r="AB310" s="2">
        <f t="shared" si="87"/>
        <v>18.179536499999998</v>
      </c>
    </row>
    <row r="311" spans="1:28" ht="15">
      <c r="A311" s="30" t="str">
        <f t="shared" si="74"/>
        <v>Boll Buggy 5R 40"</v>
      </c>
      <c r="B311" s="47" t="s">
        <v>359</v>
      </c>
      <c r="C311" s="47" t="s">
        <v>364</v>
      </c>
      <c r="D311" s="49">
        <f>5*3.33333333333333</f>
        <v>16.666666666666668</v>
      </c>
      <c r="E311" s="3">
        <v>3.6</v>
      </c>
      <c r="F311" s="3">
        <v>0.7</v>
      </c>
      <c r="G311" s="84">
        <f t="shared" si="75"/>
        <v>0.05090909090909092</v>
      </c>
      <c r="H311" s="150">
        <v>25614</v>
      </c>
      <c r="I311" s="150">
        <v>35</v>
      </c>
      <c r="J311" s="150">
        <v>50</v>
      </c>
      <c r="K311" s="150">
        <v>10</v>
      </c>
      <c r="L311" s="150">
        <v>200</v>
      </c>
      <c r="N311" s="34">
        <f t="shared" si="76"/>
        <v>2000</v>
      </c>
      <c r="O311" s="28">
        <v>1</v>
      </c>
      <c r="P311" s="41">
        <v>0.32</v>
      </c>
      <c r="Q311" s="41">
        <v>2.1</v>
      </c>
      <c r="R311" s="31">
        <f t="shared" si="77"/>
        <v>279.1196259257265</v>
      </c>
      <c r="S311" s="31">
        <f t="shared" si="78"/>
        <v>1.3955981296286324</v>
      </c>
      <c r="T311" s="32">
        <f t="shared" si="79"/>
        <v>1280.7</v>
      </c>
      <c r="U311" s="32">
        <f t="shared" si="80"/>
        <v>6.4035</v>
      </c>
      <c r="V311" s="2">
        <f t="shared" si="81"/>
        <v>8964.9</v>
      </c>
      <c r="W311" s="2">
        <f t="shared" si="82"/>
        <v>1664.9099999999999</v>
      </c>
      <c r="X311" s="2">
        <f t="shared" si="83"/>
        <v>17289.45</v>
      </c>
      <c r="Y311" s="2">
        <f t="shared" si="84"/>
        <v>1556.0505</v>
      </c>
      <c r="Z311" s="2">
        <f t="shared" si="85"/>
        <v>414.94680000000005</v>
      </c>
      <c r="AA311" s="2">
        <f t="shared" si="86"/>
        <v>3635.9073</v>
      </c>
      <c r="AB311" s="2">
        <f t="shared" si="87"/>
        <v>18.179536499999998</v>
      </c>
    </row>
    <row r="312" spans="1:28" ht="15">
      <c r="A312" s="30" t="str">
        <f t="shared" si="74"/>
        <v>Boll Buggy 6R 30"</v>
      </c>
      <c r="B312" s="47" t="s">
        <v>359</v>
      </c>
      <c r="C312" s="47" t="s">
        <v>365</v>
      </c>
      <c r="D312" s="49">
        <f>6*2.5</f>
        <v>15</v>
      </c>
      <c r="E312" s="3">
        <v>3.6</v>
      </c>
      <c r="F312" s="3">
        <v>0.7</v>
      </c>
      <c r="G312" s="84">
        <f t="shared" si="75"/>
        <v>0.04581818181818181</v>
      </c>
      <c r="H312" s="150">
        <v>25614</v>
      </c>
      <c r="I312" s="150">
        <v>35</v>
      </c>
      <c r="J312" s="150">
        <v>50</v>
      </c>
      <c r="K312" s="150">
        <v>10</v>
      </c>
      <c r="L312" s="150">
        <v>200</v>
      </c>
      <c r="N312" s="34">
        <f t="shared" si="76"/>
        <v>2000</v>
      </c>
      <c r="O312" s="28">
        <v>1</v>
      </c>
      <c r="P312" s="41">
        <v>0.32</v>
      </c>
      <c r="Q312" s="41">
        <v>2.1</v>
      </c>
      <c r="R312" s="31">
        <f t="shared" si="77"/>
        <v>279.1196259257265</v>
      </c>
      <c r="S312" s="31">
        <f t="shared" si="78"/>
        <v>1.3955981296286324</v>
      </c>
      <c r="T312" s="32">
        <f t="shared" si="79"/>
        <v>1280.7</v>
      </c>
      <c r="U312" s="32">
        <f t="shared" si="80"/>
        <v>6.4035</v>
      </c>
      <c r="V312" s="2">
        <f t="shared" si="81"/>
        <v>8964.9</v>
      </c>
      <c r="W312" s="2">
        <f t="shared" si="82"/>
        <v>1664.9099999999999</v>
      </c>
      <c r="X312" s="2">
        <f t="shared" si="83"/>
        <v>17289.45</v>
      </c>
      <c r="Y312" s="2">
        <f t="shared" si="84"/>
        <v>1556.0505</v>
      </c>
      <c r="Z312" s="2">
        <f t="shared" si="85"/>
        <v>414.94680000000005</v>
      </c>
      <c r="AA312" s="2">
        <f t="shared" si="86"/>
        <v>3635.9073</v>
      </c>
      <c r="AB312" s="2">
        <f t="shared" si="87"/>
        <v>18.179536499999998</v>
      </c>
    </row>
    <row r="313" spans="1:28" ht="15">
      <c r="A313" s="30" t="str">
        <f t="shared" si="74"/>
        <v>Boll Buggy 6R 40"</v>
      </c>
      <c r="B313" s="47" t="s">
        <v>359</v>
      </c>
      <c r="C313" s="47" t="s">
        <v>366</v>
      </c>
      <c r="D313" s="49">
        <f>6*3.33333333333333</f>
        <v>20</v>
      </c>
      <c r="E313" s="3">
        <v>3.6</v>
      </c>
      <c r="F313" s="3">
        <v>0.7</v>
      </c>
      <c r="G313" s="84">
        <f t="shared" si="75"/>
        <v>0.06109090909090909</v>
      </c>
      <c r="H313" s="150">
        <v>25614</v>
      </c>
      <c r="I313" s="150">
        <v>35</v>
      </c>
      <c r="J313" s="150">
        <v>50</v>
      </c>
      <c r="K313" s="150">
        <v>10</v>
      </c>
      <c r="L313" s="150">
        <v>200</v>
      </c>
      <c r="N313" s="34">
        <f t="shared" si="76"/>
        <v>2000</v>
      </c>
      <c r="O313" s="28">
        <v>1</v>
      </c>
      <c r="P313" s="41">
        <v>0.32</v>
      </c>
      <c r="Q313" s="41">
        <v>2.1</v>
      </c>
      <c r="R313" s="31">
        <f t="shared" si="77"/>
        <v>279.1196259257265</v>
      </c>
      <c r="S313" s="31">
        <f t="shared" si="78"/>
        <v>1.3955981296286324</v>
      </c>
      <c r="T313" s="32">
        <f t="shared" si="79"/>
        <v>1280.7</v>
      </c>
      <c r="U313" s="32">
        <f t="shared" si="80"/>
        <v>6.4035</v>
      </c>
      <c r="V313" s="2">
        <f t="shared" si="81"/>
        <v>8964.9</v>
      </c>
      <c r="W313" s="2">
        <f t="shared" si="82"/>
        <v>1664.9099999999999</v>
      </c>
      <c r="X313" s="2">
        <f t="shared" si="83"/>
        <v>17289.45</v>
      </c>
      <c r="Y313" s="2">
        <f t="shared" si="84"/>
        <v>1556.0505</v>
      </c>
      <c r="Z313" s="2">
        <f t="shared" si="85"/>
        <v>414.94680000000005</v>
      </c>
      <c r="AA313" s="2">
        <f t="shared" si="86"/>
        <v>3635.9073</v>
      </c>
      <c r="AB313" s="2">
        <f t="shared" si="87"/>
        <v>18.179536499999998</v>
      </c>
    </row>
    <row r="314" spans="1:28" ht="15">
      <c r="A314" s="30" t="str">
        <f>+CONCATENATE(B314,C314)</f>
        <v>Corn Grain Cart 8R36500 bu</v>
      </c>
      <c r="B314" s="47" t="s">
        <v>367</v>
      </c>
      <c r="C314" s="47" t="s">
        <v>97</v>
      </c>
      <c r="D314" s="49">
        <f>8*3</f>
        <v>24</v>
      </c>
      <c r="E314" s="3">
        <v>3.8</v>
      </c>
      <c r="F314" s="3">
        <v>0.85</v>
      </c>
      <c r="G314" s="84">
        <f t="shared" si="75"/>
        <v>0.09396363636363635</v>
      </c>
      <c r="H314" s="150">
        <v>14774</v>
      </c>
      <c r="I314" s="150">
        <v>30</v>
      </c>
      <c r="J314" s="150">
        <v>65</v>
      </c>
      <c r="K314" s="150">
        <v>12</v>
      </c>
      <c r="L314" s="150">
        <v>200</v>
      </c>
      <c r="N314" s="34">
        <f t="shared" si="76"/>
        <v>2400</v>
      </c>
      <c r="O314" s="28">
        <v>1</v>
      </c>
      <c r="P314" s="41">
        <v>0.32</v>
      </c>
      <c r="Q314" s="41">
        <v>2.1</v>
      </c>
      <c r="R314" s="31">
        <f t="shared" si="77"/>
        <v>160.99450899612256</v>
      </c>
      <c r="S314" s="31">
        <f t="shared" si="78"/>
        <v>0.8049725449806128</v>
      </c>
      <c r="T314" s="32">
        <f t="shared" si="79"/>
        <v>800.2583333333333</v>
      </c>
      <c r="U314" s="32">
        <f t="shared" si="80"/>
        <v>4.001291666666667</v>
      </c>
      <c r="V314" s="2">
        <f t="shared" si="81"/>
        <v>4432.2</v>
      </c>
      <c r="W314" s="2">
        <f t="shared" si="82"/>
        <v>861.8166666666666</v>
      </c>
      <c r="X314" s="2">
        <f t="shared" si="83"/>
        <v>9603.1</v>
      </c>
      <c r="Y314" s="2">
        <f t="shared" si="84"/>
        <v>864.279</v>
      </c>
      <c r="Z314" s="2">
        <f t="shared" si="85"/>
        <v>230.4744</v>
      </c>
      <c r="AA314" s="2">
        <f t="shared" si="86"/>
        <v>1956.5700666666667</v>
      </c>
      <c r="AB314" s="2">
        <f t="shared" si="87"/>
        <v>9.782850333333334</v>
      </c>
    </row>
    <row r="315" spans="1:28" ht="15">
      <c r="A315" s="30" t="str">
        <f>+CONCATENATE(B315,C315)</f>
        <v>Corn Grain Cart 8R36700bu</v>
      </c>
      <c r="B315" s="47" t="s">
        <v>367</v>
      </c>
      <c r="C315" s="47" t="s">
        <v>199</v>
      </c>
      <c r="D315" s="49">
        <f>8*3</f>
        <v>24</v>
      </c>
      <c r="E315" s="3">
        <v>3.8</v>
      </c>
      <c r="F315" s="3">
        <v>0.85</v>
      </c>
      <c r="G315" s="84">
        <f t="shared" si="75"/>
        <v>0.09396363636363635</v>
      </c>
      <c r="H315" s="150">
        <v>19783</v>
      </c>
      <c r="I315" s="150">
        <v>30</v>
      </c>
      <c r="J315" s="150">
        <v>65</v>
      </c>
      <c r="K315" s="150">
        <v>12</v>
      </c>
      <c r="L315" s="150">
        <v>200</v>
      </c>
      <c r="N315" s="34">
        <f t="shared" si="76"/>
        <v>2400</v>
      </c>
      <c r="O315" s="28">
        <v>1</v>
      </c>
      <c r="P315" s="41">
        <v>0.32</v>
      </c>
      <c r="Q315" s="41">
        <v>2.1</v>
      </c>
      <c r="R315" s="31">
        <f t="shared" si="77"/>
        <v>215.57833839652722</v>
      </c>
      <c r="S315" s="31">
        <f t="shared" si="78"/>
        <v>1.077891691982636</v>
      </c>
      <c r="T315" s="32">
        <f t="shared" si="79"/>
        <v>1071.5791666666667</v>
      </c>
      <c r="U315" s="32">
        <f t="shared" si="80"/>
        <v>5.357895833333333</v>
      </c>
      <c r="V315" s="2">
        <f t="shared" si="81"/>
        <v>5934.9</v>
      </c>
      <c r="W315" s="2">
        <f t="shared" si="82"/>
        <v>1154.0083333333334</v>
      </c>
      <c r="X315" s="2">
        <f t="shared" si="83"/>
        <v>12858.95</v>
      </c>
      <c r="Y315" s="2">
        <f t="shared" si="84"/>
        <v>1157.3055</v>
      </c>
      <c r="Z315" s="2">
        <f t="shared" si="85"/>
        <v>308.6148</v>
      </c>
      <c r="AA315" s="2">
        <f t="shared" si="86"/>
        <v>2619.9286333333334</v>
      </c>
      <c r="AB315" s="2">
        <f t="shared" si="87"/>
        <v>13.099643166666667</v>
      </c>
    </row>
    <row r="316" spans="1:28" ht="15">
      <c r="A316" s="145" t="str">
        <f aca="true" t="shared" si="88" ref="A316:A347">+CONCATENATE(B316,C316)</f>
        <v>Hay Baler-Lg Round</v>
      </c>
      <c r="B316" s="140" t="s">
        <v>302</v>
      </c>
      <c r="C316" s="140" t="s">
        <v>291</v>
      </c>
      <c r="D316" s="140"/>
      <c r="E316" s="140"/>
      <c r="F316" s="140"/>
      <c r="G316" s="147">
        <f t="shared" si="75"/>
        <v>0</v>
      </c>
      <c r="H316" s="151">
        <v>17657</v>
      </c>
      <c r="I316" s="150">
        <v>30</v>
      </c>
      <c r="J316" s="150">
        <v>80</v>
      </c>
      <c r="K316" s="150">
        <v>8</v>
      </c>
      <c r="L316" s="150">
        <v>200</v>
      </c>
      <c r="M316" s="3">
        <v>330.04</v>
      </c>
      <c r="N316" s="34">
        <f aca="true" t="shared" si="89" ref="N316:N348">+K316*L316</f>
        <v>1600</v>
      </c>
      <c r="O316" s="28">
        <v>1</v>
      </c>
      <c r="P316" s="41">
        <v>0.32</v>
      </c>
      <c r="Q316" s="41">
        <v>2.1</v>
      </c>
      <c r="R316" s="31">
        <f aca="true" t="shared" si="90" ref="R316:R349">+(P316*H316)*((O316*L316/1000)^Q316)</f>
        <v>192.41099535295356</v>
      </c>
      <c r="S316" s="31">
        <f aca="true" t="shared" si="91" ref="S316:S349">+R316/L316</f>
        <v>0.9620549767647678</v>
      </c>
      <c r="T316" s="32">
        <f aca="true" t="shared" si="92" ref="T316:T349">+(H316*J316/100)/K316</f>
        <v>1765.7</v>
      </c>
      <c r="U316" s="32">
        <f aca="true" t="shared" si="93" ref="U316:U349">+T316/L316</f>
        <v>8.8285</v>
      </c>
      <c r="V316" s="2">
        <f aca="true" t="shared" si="94" ref="V316:V349">+(H316*I316/100)</f>
        <v>5297.1</v>
      </c>
      <c r="W316" s="2">
        <f aca="true" t="shared" si="95" ref="W316:W349">+(H316-V316)/K316</f>
        <v>1544.9875</v>
      </c>
      <c r="X316" s="2">
        <f aca="true" t="shared" si="96" ref="X316:X349">+(V316+H316)/2</f>
        <v>11477.05</v>
      </c>
      <c r="Y316" s="2">
        <f aca="true" t="shared" si="97" ref="Y316:Y349">+X316*iir</f>
        <v>1032.9344999999998</v>
      </c>
      <c r="Z316" s="2">
        <f aca="true" t="shared" si="98" ref="Z316:Z349">+X316*ins_tax</f>
        <v>275.44919999999996</v>
      </c>
      <c r="AA316" s="2">
        <f aca="true" t="shared" si="99" ref="AA316:AA349">+Z316+Y316+W316</f>
        <v>2853.3711999999996</v>
      </c>
      <c r="AB316" s="2">
        <f aca="true" t="shared" si="100" ref="AB316:AB349">+AA316/L316</f>
        <v>14.266855999999997</v>
      </c>
    </row>
    <row r="317" spans="1:28" ht="15">
      <c r="A317" s="145" t="str">
        <f t="shared" si="88"/>
        <v>Hay Baler-Med Rnd</v>
      </c>
      <c r="B317" s="140" t="s">
        <v>302</v>
      </c>
      <c r="C317" s="140" t="s">
        <v>292</v>
      </c>
      <c r="D317" s="140"/>
      <c r="E317" s="140"/>
      <c r="F317" s="140"/>
      <c r="G317" s="147">
        <f t="shared" si="75"/>
        <v>0</v>
      </c>
      <c r="H317" s="151">
        <v>14961</v>
      </c>
      <c r="I317" s="150">
        <v>30</v>
      </c>
      <c r="J317" s="150">
        <v>80</v>
      </c>
      <c r="K317" s="150">
        <v>8</v>
      </c>
      <c r="L317" s="150">
        <v>200</v>
      </c>
      <c r="M317" s="3">
        <v>0</v>
      </c>
      <c r="N317" s="34">
        <f t="shared" si="89"/>
        <v>1600</v>
      </c>
      <c r="O317" s="28">
        <v>1</v>
      </c>
      <c r="P317" s="41">
        <v>0.32</v>
      </c>
      <c r="Q317" s="41">
        <v>2.1</v>
      </c>
      <c r="R317" s="31">
        <f t="shared" si="90"/>
        <v>163.03227623466833</v>
      </c>
      <c r="S317" s="31">
        <f t="shared" si="91"/>
        <v>0.8151613811733417</v>
      </c>
      <c r="T317" s="32">
        <f t="shared" si="92"/>
        <v>1496.1</v>
      </c>
      <c r="U317" s="32">
        <f t="shared" si="93"/>
        <v>7.480499999999999</v>
      </c>
      <c r="V317" s="2">
        <f t="shared" si="94"/>
        <v>4488.3</v>
      </c>
      <c r="W317" s="2">
        <f t="shared" si="95"/>
        <v>1309.0875</v>
      </c>
      <c r="X317" s="2">
        <f t="shared" si="96"/>
        <v>9724.65</v>
      </c>
      <c r="Y317" s="2">
        <f t="shared" si="97"/>
        <v>875.2185</v>
      </c>
      <c r="Z317" s="2">
        <f t="shared" si="98"/>
        <v>233.39159999999998</v>
      </c>
      <c r="AA317" s="2">
        <f t="shared" si="99"/>
        <v>2417.6976</v>
      </c>
      <c r="AB317" s="2">
        <f t="shared" si="100"/>
        <v>12.088488</v>
      </c>
    </row>
    <row r="318" spans="1:28" ht="15">
      <c r="A318" s="145" t="str">
        <f t="shared" si="88"/>
        <v>Hay Baler-Sm Round</v>
      </c>
      <c r="B318" s="140" t="s">
        <v>302</v>
      </c>
      <c r="C318" s="140" t="s">
        <v>293</v>
      </c>
      <c r="D318" s="140"/>
      <c r="E318" s="140"/>
      <c r="F318" s="140"/>
      <c r="G318" s="147">
        <f t="shared" si="75"/>
        <v>0</v>
      </c>
      <c r="H318" s="151">
        <v>0</v>
      </c>
      <c r="I318" s="150">
        <v>30</v>
      </c>
      <c r="J318" s="150">
        <v>80</v>
      </c>
      <c r="K318" s="150">
        <v>8</v>
      </c>
      <c r="L318" s="150">
        <v>200</v>
      </c>
      <c r="M318" s="3">
        <v>0</v>
      </c>
      <c r="N318" s="34">
        <f t="shared" si="89"/>
        <v>1600</v>
      </c>
      <c r="O318" s="28">
        <v>1</v>
      </c>
      <c r="P318" s="41">
        <v>0.32</v>
      </c>
      <c r="Q318" s="41">
        <v>2.1</v>
      </c>
      <c r="R318" s="31">
        <f t="shared" si="90"/>
        <v>0</v>
      </c>
      <c r="S318" s="31">
        <f t="shared" si="91"/>
        <v>0</v>
      </c>
      <c r="T318" s="32">
        <f t="shared" si="92"/>
        <v>0</v>
      </c>
      <c r="U318" s="32">
        <f t="shared" si="93"/>
        <v>0</v>
      </c>
      <c r="V318" s="2">
        <f t="shared" si="94"/>
        <v>0</v>
      </c>
      <c r="W318" s="2">
        <f t="shared" si="95"/>
        <v>0</v>
      </c>
      <c r="X318" s="2">
        <f t="shared" si="96"/>
        <v>0</v>
      </c>
      <c r="Y318" s="2">
        <f t="shared" si="97"/>
        <v>0</v>
      </c>
      <c r="Z318" s="2">
        <f t="shared" si="98"/>
        <v>0</v>
      </c>
      <c r="AA318" s="2">
        <f t="shared" si="99"/>
        <v>0</v>
      </c>
      <c r="AB318" s="2">
        <f t="shared" si="100"/>
        <v>0</v>
      </c>
    </row>
    <row r="319" spans="1:28" ht="15">
      <c r="A319" s="145" t="str">
        <f t="shared" si="88"/>
        <v>Hay Baler-Square</v>
      </c>
      <c r="B319" s="140" t="s">
        <v>302</v>
      </c>
      <c r="C319" s="140" t="s">
        <v>290</v>
      </c>
      <c r="D319" s="140"/>
      <c r="E319" s="140"/>
      <c r="F319" s="140"/>
      <c r="G319" s="147">
        <f t="shared" si="75"/>
        <v>0</v>
      </c>
      <c r="H319" s="151">
        <v>12915</v>
      </c>
      <c r="I319" s="150">
        <v>30</v>
      </c>
      <c r="J319" s="150">
        <v>80</v>
      </c>
      <c r="K319" s="150">
        <v>8</v>
      </c>
      <c r="L319" s="150">
        <v>200</v>
      </c>
      <c r="M319" s="3">
        <v>303.73</v>
      </c>
      <c r="N319" s="34">
        <f t="shared" si="89"/>
        <v>1600</v>
      </c>
      <c r="O319" s="28">
        <v>1</v>
      </c>
      <c r="P319" s="41">
        <v>0.32</v>
      </c>
      <c r="Q319" s="41">
        <v>2.1</v>
      </c>
      <c r="R319" s="31">
        <f t="shared" si="90"/>
        <v>140.736705271756</v>
      </c>
      <c r="S319" s="31">
        <f t="shared" si="91"/>
        <v>0.70368352635878</v>
      </c>
      <c r="T319" s="32">
        <f t="shared" si="92"/>
        <v>1291.5</v>
      </c>
      <c r="U319" s="32">
        <f t="shared" si="93"/>
        <v>6.4575</v>
      </c>
      <c r="V319" s="2">
        <f t="shared" si="94"/>
        <v>3874.5</v>
      </c>
      <c r="W319" s="2">
        <f t="shared" si="95"/>
        <v>1130.0625</v>
      </c>
      <c r="X319" s="2">
        <f t="shared" si="96"/>
        <v>8394.75</v>
      </c>
      <c r="Y319" s="2">
        <f t="shared" si="97"/>
        <v>755.5274999999999</v>
      </c>
      <c r="Z319" s="2">
        <f t="shared" si="98"/>
        <v>201.47400000000002</v>
      </c>
      <c r="AA319" s="2">
        <f t="shared" si="99"/>
        <v>2087.064</v>
      </c>
      <c r="AB319" s="2">
        <f t="shared" si="100"/>
        <v>10.435319999999999</v>
      </c>
    </row>
    <row r="320" spans="1:28" ht="15">
      <c r="A320" s="145" t="str">
        <f t="shared" si="88"/>
        <v>Hay Cut-Cond-12'</v>
      </c>
      <c r="B320" s="140" t="s">
        <v>303</v>
      </c>
      <c r="C320" s="140" t="s">
        <v>92</v>
      </c>
      <c r="D320" s="140">
        <v>12</v>
      </c>
      <c r="E320" s="140"/>
      <c r="F320" s="140"/>
      <c r="G320" s="147">
        <f t="shared" si="75"/>
        <v>0</v>
      </c>
      <c r="H320" s="151">
        <v>18375</v>
      </c>
      <c r="I320" s="150">
        <v>30</v>
      </c>
      <c r="J320" s="150">
        <v>100</v>
      </c>
      <c r="K320" s="150">
        <v>8</v>
      </c>
      <c r="L320" s="150">
        <v>200</v>
      </c>
      <c r="M320" s="3">
        <v>0</v>
      </c>
      <c r="N320" s="34">
        <f t="shared" si="89"/>
        <v>1600</v>
      </c>
      <c r="O320" s="28">
        <v>1</v>
      </c>
      <c r="P320" s="41">
        <v>0.32</v>
      </c>
      <c r="Q320" s="41">
        <v>2.1</v>
      </c>
      <c r="R320" s="31">
        <f t="shared" si="90"/>
        <v>200.2351497768886</v>
      </c>
      <c r="S320" s="31">
        <f t="shared" si="91"/>
        <v>1.001175748884443</v>
      </c>
      <c r="T320" s="32">
        <f t="shared" si="92"/>
        <v>2296.875</v>
      </c>
      <c r="U320" s="32">
        <f t="shared" si="93"/>
        <v>11.484375</v>
      </c>
      <c r="V320" s="2">
        <f t="shared" si="94"/>
        <v>5512.5</v>
      </c>
      <c r="W320" s="2">
        <f t="shared" si="95"/>
        <v>1607.8125</v>
      </c>
      <c r="X320" s="2">
        <f t="shared" si="96"/>
        <v>11943.75</v>
      </c>
      <c r="Y320" s="2">
        <f t="shared" si="97"/>
        <v>1074.9375</v>
      </c>
      <c r="Z320" s="2">
        <f t="shared" si="98"/>
        <v>286.65000000000003</v>
      </c>
      <c r="AA320" s="2">
        <f t="shared" si="99"/>
        <v>2969.4</v>
      </c>
      <c r="AB320" s="2">
        <f t="shared" si="100"/>
        <v>14.847000000000001</v>
      </c>
    </row>
    <row r="321" spans="1:28" ht="15">
      <c r="A321" s="145" t="str">
        <f t="shared" si="88"/>
        <v>Hay Cut-Cond-7'</v>
      </c>
      <c r="B321" s="140" t="s">
        <v>303</v>
      </c>
      <c r="C321" s="140" t="s">
        <v>250</v>
      </c>
      <c r="D321" s="140">
        <v>7</v>
      </c>
      <c r="E321" s="140"/>
      <c r="F321" s="140"/>
      <c r="G321" s="147">
        <f t="shared" si="75"/>
        <v>0</v>
      </c>
      <c r="H321" s="143"/>
      <c r="I321" s="150">
        <v>30</v>
      </c>
      <c r="J321" s="150">
        <v>100</v>
      </c>
      <c r="K321" s="150">
        <v>8</v>
      </c>
      <c r="L321" s="150">
        <v>200</v>
      </c>
      <c r="M321" s="3">
        <v>0</v>
      </c>
      <c r="N321" s="34">
        <f t="shared" si="89"/>
        <v>1600</v>
      </c>
      <c r="O321" s="28">
        <v>1</v>
      </c>
      <c r="P321" s="41">
        <v>0.32</v>
      </c>
      <c r="Q321" s="41">
        <v>2.1</v>
      </c>
      <c r="R321" s="31">
        <f t="shared" si="90"/>
        <v>0</v>
      </c>
      <c r="S321" s="31">
        <f t="shared" si="91"/>
        <v>0</v>
      </c>
      <c r="T321" s="32">
        <f t="shared" si="92"/>
        <v>0</v>
      </c>
      <c r="U321" s="32">
        <f t="shared" si="93"/>
        <v>0</v>
      </c>
      <c r="V321" s="2">
        <f t="shared" si="94"/>
        <v>0</v>
      </c>
      <c r="W321" s="2">
        <f t="shared" si="95"/>
        <v>0</v>
      </c>
      <c r="X321" s="2">
        <f t="shared" si="96"/>
        <v>0</v>
      </c>
      <c r="Y321" s="2">
        <f t="shared" si="97"/>
        <v>0</v>
      </c>
      <c r="Z321" s="2">
        <f t="shared" si="98"/>
        <v>0</v>
      </c>
      <c r="AA321" s="2">
        <f t="shared" si="99"/>
        <v>0</v>
      </c>
      <c r="AB321" s="2">
        <f t="shared" si="100"/>
        <v>0</v>
      </c>
    </row>
    <row r="322" spans="1:28" ht="15">
      <c r="A322" s="145" t="str">
        <f t="shared" si="88"/>
        <v>Hay Cut-Cond-9'</v>
      </c>
      <c r="B322" s="140" t="s">
        <v>303</v>
      </c>
      <c r="C322" s="140" t="s">
        <v>294</v>
      </c>
      <c r="D322" s="140">
        <v>9</v>
      </c>
      <c r="E322" s="140"/>
      <c r="F322" s="140"/>
      <c r="G322" s="147">
        <f t="shared" si="75"/>
        <v>0</v>
      </c>
      <c r="H322" s="151">
        <v>12714</v>
      </c>
      <c r="I322" s="150">
        <v>30</v>
      </c>
      <c r="J322" s="150">
        <v>100</v>
      </c>
      <c r="K322" s="150">
        <v>8</v>
      </c>
      <c r="L322" s="150">
        <v>200</v>
      </c>
      <c r="M322" s="3">
        <v>603.75</v>
      </c>
      <c r="N322" s="34">
        <f t="shared" si="89"/>
        <v>1600</v>
      </c>
      <c r="O322" s="28">
        <v>1</v>
      </c>
      <c r="P322" s="41">
        <v>0.32</v>
      </c>
      <c r="Q322" s="41">
        <v>2.1</v>
      </c>
      <c r="R322" s="31">
        <f t="shared" si="90"/>
        <v>138.5463779190945</v>
      </c>
      <c r="S322" s="31">
        <f t="shared" si="91"/>
        <v>0.6927318895954726</v>
      </c>
      <c r="T322" s="32">
        <f t="shared" si="92"/>
        <v>1589.25</v>
      </c>
      <c r="U322" s="32">
        <f t="shared" si="93"/>
        <v>7.94625</v>
      </c>
      <c r="V322" s="2">
        <f t="shared" si="94"/>
        <v>3814.2</v>
      </c>
      <c r="W322" s="2">
        <f t="shared" si="95"/>
        <v>1112.475</v>
      </c>
      <c r="X322" s="2">
        <f t="shared" si="96"/>
        <v>8264.1</v>
      </c>
      <c r="Y322" s="2">
        <f t="shared" si="97"/>
        <v>743.769</v>
      </c>
      <c r="Z322" s="2">
        <f t="shared" si="98"/>
        <v>198.3384</v>
      </c>
      <c r="AA322" s="2">
        <f t="shared" si="99"/>
        <v>2054.5824</v>
      </c>
      <c r="AB322" s="2">
        <f t="shared" si="100"/>
        <v>10.272911999999998</v>
      </c>
    </row>
    <row r="323" spans="1:28" ht="15">
      <c r="A323" s="145" t="str">
        <f t="shared" si="88"/>
        <v>Hay Disc Mower-8'</v>
      </c>
      <c r="B323" s="140" t="s">
        <v>304</v>
      </c>
      <c r="C323" s="140" t="s">
        <v>299</v>
      </c>
      <c r="D323" s="140">
        <v>8</v>
      </c>
      <c r="E323" s="140"/>
      <c r="F323" s="140"/>
      <c r="G323" s="147">
        <f t="shared" si="75"/>
        <v>0</v>
      </c>
      <c r="H323" s="151">
        <v>6018</v>
      </c>
      <c r="I323" s="150">
        <v>30</v>
      </c>
      <c r="J323" s="150">
        <v>100</v>
      </c>
      <c r="K323" s="150">
        <v>8</v>
      </c>
      <c r="L323" s="150">
        <v>200</v>
      </c>
      <c r="M323" s="3">
        <v>0</v>
      </c>
      <c r="N323" s="34">
        <f t="shared" si="89"/>
        <v>1600</v>
      </c>
      <c r="O323" s="28">
        <v>1</v>
      </c>
      <c r="P323" s="41">
        <v>0.32</v>
      </c>
      <c r="Q323" s="41">
        <v>2.1</v>
      </c>
      <c r="R323" s="31">
        <f t="shared" si="90"/>
        <v>65.57905476774506</v>
      </c>
      <c r="S323" s="31">
        <f t="shared" si="91"/>
        <v>0.3278952738387253</v>
      </c>
      <c r="T323" s="32">
        <f t="shared" si="92"/>
        <v>752.25</v>
      </c>
      <c r="U323" s="32">
        <f t="shared" si="93"/>
        <v>3.76125</v>
      </c>
      <c r="V323" s="2">
        <f t="shared" si="94"/>
        <v>1805.4</v>
      </c>
      <c r="W323" s="2">
        <f t="shared" si="95"/>
        <v>526.575</v>
      </c>
      <c r="X323" s="2">
        <f t="shared" si="96"/>
        <v>3911.7</v>
      </c>
      <c r="Y323" s="2">
        <f t="shared" si="97"/>
        <v>352.053</v>
      </c>
      <c r="Z323" s="2">
        <f t="shared" si="98"/>
        <v>93.8808</v>
      </c>
      <c r="AA323" s="2">
        <f t="shared" si="99"/>
        <v>972.5088000000001</v>
      </c>
      <c r="AB323" s="2">
        <f t="shared" si="100"/>
        <v>4.862544000000001</v>
      </c>
    </row>
    <row r="324" spans="1:28" ht="15">
      <c r="A324" s="145" t="str">
        <f t="shared" si="88"/>
        <v>Hay Loader-Pop-Up</v>
      </c>
      <c r="B324" s="140" t="s">
        <v>305</v>
      </c>
      <c r="C324" s="140" t="s">
        <v>295</v>
      </c>
      <c r="D324" s="140"/>
      <c r="E324" s="140"/>
      <c r="F324" s="140"/>
      <c r="G324" s="147">
        <f t="shared" si="75"/>
        <v>0</v>
      </c>
      <c r="H324" s="151">
        <v>0</v>
      </c>
      <c r="I324" s="150">
        <v>30</v>
      </c>
      <c r="J324" s="150">
        <v>80</v>
      </c>
      <c r="K324" s="150">
        <v>10</v>
      </c>
      <c r="L324" s="150">
        <v>200</v>
      </c>
      <c r="M324" s="3">
        <v>0</v>
      </c>
      <c r="N324" s="34">
        <f t="shared" si="89"/>
        <v>2000</v>
      </c>
      <c r="O324" s="28">
        <v>1</v>
      </c>
      <c r="P324" s="41">
        <v>0.32</v>
      </c>
      <c r="Q324" s="41">
        <v>2.1</v>
      </c>
      <c r="R324" s="31">
        <f t="shared" si="90"/>
        <v>0</v>
      </c>
      <c r="S324" s="31">
        <f t="shared" si="91"/>
        <v>0</v>
      </c>
      <c r="T324" s="32">
        <f t="shared" si="92"/>
        <v>0</v>
      </c>
      <c r="U324" s="32">
        <f t="shared" si="93"/>
        <v>0</v>
      </c>
      <c r="V324" s="2">
        <f t="shared" si="94"/>
        <v>0</v>
      </c>
      <c r="W324" s="2">
        <f t="shared" si="95"/>
        <v>0</v>
      </c>
      <c r="X324" s="2">
        <f t="shared" si="96"/>
        <v>0</v>
      </c>
      <c r="Y324" s="2">
        <f t="shared" si="97"/>
        <v>0</v>
      </c>
      <c r="Z324" s="2">
        <f t="shared" si="98"/>
        <v>0</v>
      </c>
      <c r="AA324" s="2">
        <f t="shared" si="99"/>
        <v>0</v>
      </c>
      <c r="AB324" s="2">
        <f t="shared" si="100"/>
        <v>0</v>
      </c>
    </row>
    <row r="325" spans="1:28" ht="15">
      <c r="A325" s="145" t="str">
        <f t="shared" si="88"/>
        <v>Hay Mover-1B Lift</v>
      </c>
      <c r="B325" s="140" t="s">
        <v>306</v>
      </c>
      <c r="C325" s="140" t="s">
        <v>297</v>
      </c>
      <c r="D325" s="140"/>
      <c r="E325" s="140"/>
      <c r="F325" s="140"/>
      <c r="G325" s="147">
        <f t="shared" si="75"/>
        <v>0</v>
      </c>
      <c r="H325" s="151">
        <v>305</v>
      </c>
      <c r="I325" s="150">
        <v>30</v>
      </c>
      <c r="J325" s="150">
        <v>50</v>
      </c>
      <c r="K325" s="150">
        <v>10</v>
      </c>
      <c r="L325" s="150">
        <v>200</v>
      </c>
      <c r="M325" s="3">
        <v>0</v>
      </c>
      <c r="N325" s="34">
        <f t="shared" si="89"/>
        <v>2000</v>
      </c>
      <c r="O325" s="28">
        <v>1</v>
      </c>
      <c r="P325" s="41">
        <v>0.32</v>
      </c>
      <c r="Q325" s="41">
        <v>2.1</v>
      </c>
      <c r="R325" s="31">
        <f t="shared" si="90"/>
        <v>3.3236310575211445</v>
      </c>
      <c r="S325" s="31">
        <f t="shared" si="91"/>
        <v>0.016618155287605723</v>
      </c>
      <c r="T325" s="32">
        <f t="shared" si="92"/>
        <v>15.25</v>
      </c>
      <c r="U325" s="32">
        <f t="shared" si="93"/>
        <v>0.07625</v>
      </c>
      <c r="V325" s="2">
        <f t="shared" si="94"/>
        <v>91.5</v>
      </c>
      <c r="W325" s="2">
        <f t="shared" si="95"/>
        <v>21.35</v>
      </c>
      <c r="X325" s="2">
        <f t="shared" si="96"/>
        <v>198.25</v>
      </c>
      <c r="Y325" s="2">
        <f t="shared" si="97"/>
        <v>17.842499999999998</v>
      </c>
      <c r="Z325" s="2">
        <f t="shared" si="98"/>
        <v>4.758</v>
      </c>
      <c r="AA325" s="2">
        <f t="shared" si="99"/>
        <v>43.9505</v>
      </c>
      <c r="AB325" s="2">
        <f t="shared" si="100"/>
        <v>0.2197525</v>
      </c>
    </row>
    <row r="326" spans="1:28" ht="15">
      <c r="A326" s="145" t="str">
        <f t="shared" si="88"/>
        <v>Hay Mover-2 Bale</v>
      </c>
      <c r="B326" s="140" t="s">
        <v>306</v>
      </c>
      <c r="C326" s="140" t="s">
        <v>296</v>
      </c>
      <c r="D326" s="140"/>
      <c r="E326" s="140"/>
      <c r="F326" s="140"/>
      <c r="G326" s="147">
        <f t="shared" si="75"/>
        <v>0</v>
      </c>
      <c r="H326" s="151">
        <v>1826</v>
      </c>
      <c r="I326" s="150">
        <v>30</v>
      </c>
      <c r="J326" s="150">
        <v>10</v>
      </c>
      <c r="K326" s="150">
        <v>15</v>
      </c>
      <c r="L326" s="150">
        <v>200</v>
      </c>
      <c r="M326" s="3">
        <v>0</v>
      </c>
      <c r="N326" s="34">
        <f t="shared" si="89"/>
        <v>3000</v>
      </c>
      <c r="O326" s="28">
        <v>1</v>
      </c>
      <c r="P326" s="41">
        <v>0.32</v>
      </c>
      <c r="Q326" s="41">
        <v>2.1</v>
      </c>
      <c r="R326" s="31">
        <f t="shared" si="90"/>
        <v>19.898197741093803</v>
      </c>
      <c r="S326" s="31">
        <f t="shared" si="91"/>
        <v>0.09949098870546902</v>
      </c>
      <c r="T326" s="32">
        <f t="shared" si="92"/>
        <v>12.173333333333334</v>
      </c>
      <c r="U326" s="32">
        <f t="shared" si="93"/>
        <v>0.060866666666666666</v>
      </c>
      <c r="V326" s="2">
        <f t="shared" si="94"/>
        <v>547.8</v>
      </c>
      <c r="W326" s="2">
        <f t="shared" si="95"/>
        <v>85.21333333333334</v>
      </c>
      <c r="X326" s="2">
        <f t="shared" si="96"/>
        <v>1186.9</v>
      </c>
      <c r="Y326" s="2">
        <f t="shared" si="97"/>
        <v>106.821</v>
      </c>
      <c r="Z326" s="2">
        <f t="shared" si="98"/>
        <v>28.4856</v>
      </c>
      <c r="AA326" s="2">
        <f t="shared" si="99"/>
        <v>220.51993333333334</v>
      </c>
      <c r="AB326" s="2">
        <f t="shared" si="100"/>
        <v>1.1025996666666666</v>
      </c>
    </row>
    <row r="327" spans="1:28" ht="15">
      <c r="A327" s="145" t="str">
        <f t="shared" si="88"/>
        <v>Hay Mower-6'</v>
      </c>
      <c r="B327" s="140" t="s">
        <v>307</v>
      </c>
      <c r="C327" s="140" t="s">
        <v>298</v>
      </c>
      <c r="D327" s="140">
        <v>6</v>
      </c>
      <c r="E327" s="140"/>
      <c r="F327" s="140"/>
      <c r="G327" s="147">
        <f t="shared" si="75"/>
        <v>0</v>
      </c>
      <c r="H327" s="143"/>
      <c r="I327" s="150">
        <v>30</v>
      </c>
      <c r="J327" s="150">
        <v>100</v>
      </c>
      <c r="K327" s="150">
        <v>8</v>
      </c>
      <c r="L327" s="150">
        <v>200</v>
      </c>
      <c r="M327" s="3">
        <v>0</v>
      </c>
      <c r="N327" s="34">
        <f t="shared" si="89"/>
        <v>1600</v>
      </c>
      <c r="O327" s="28">
        <v>1</v>
      </c>
      <c r="P327" s="41">
        <v>0.32</v>
      </c>
      <c r="Q327" s="41">
        <v>2.1</v>
      </c>
      <c r="R327" s="31">
        <f t="shared" si="90"/>
        <v>0</v>
      </c>
      <c r="S327" s="31">
        <f t="shared" si="91"/>
        <v>0</v>
      </c>
      <c r="T327" s="32">
        <f t="shared" si="92"/>
        <v>0</v>
      </c>
      <c r="U327" s="32">
        <f t="shared" si="93"/>
        <v>0</v>
      </c>
      <c r="V327" s="2">
        <f t="shared" si="94"/>
        <v>0</v>
      </c>
      <c r="W327" s="2">
        <f t="shared" si="95"/>
        <v>0</v>
      </c>
      <c r="X327" s="2">
        <f t="shared" si="96"/>
        <v>0</v>
      </c>
      <c r="Y327" s="2">
        <f t="shared" si="97"/>
        <v>0</v>
      </c>
      <c r="Z327" s="2">
        <f t="shared" si="98"/>
        <v>0</v>
      </c>
      <c r="AA327" s="2">
        <f t="shared" si="99"/>
        <v>0</v>
      </c>
      <c r="AB327" s="2">
        <f t="shared" si="100"/>
        <v>0</v>
      </c>
    </row>
    <row r="328" spans="1:28" ht="15">
      <c r="A328" s="145" t="str">
        <f t="shared" si="88"/>
        <v>Hay Rake-8.5'</v>
      </c>
      <c r="B328" s="140" t="s">
        <v>308</v>
      </c>
      <c r="C328" s="140" t="s">
        <v>300</v>
      </c>
      <c r="D328" s="140">
        <v>8.5</v>
      </c>
      <c r="E328" s="140"/>
      <c r="F328" s="140"/>
      <c r="G328" s="147">
        <f t="shared" si="75"/>
        <v>0</v>
      </c>
      <c r="H328" s="151">
        <v>2220</v>
      </c>
      <c r="I328" s="150">
        <v>30</v>
      </c>
      <c r="J328" s="150">
        <v>80</v>
      </c>
      <c r="K328" s="150">
        <v>8</v>
      </c>
      <c r="L328" s="150">
        <v>200</v>
      </c>
      <c r="M328" s="3">
        <v>1196.25</v>
      </c>
      <c r="N328" s="34">
        <f t="shared" si="89"/>
        <v>1600</v>
      </c>
      <c r="O328" s="28">
        <v>1</v>
      </c>
      <c r="P328" s="41">
        <v>0.32</v>
      </c>
      <c r="Q328" s="41">
        <v>2.1</v>
      </c>
      <c r="R328" s="31">
        <f t="shared" si="90"/>
        <v>24.191675238350623</v>
      </c>
      <c r="S328" s="31">
        <f t="shared" si="91"/>
        <v>0.12095837619175312</v>
      </c>
      <c r="T328" s="32">
        <f t="shared" si="92"/>
        <v>222</v>
      </c>
      <c r="U328" s="32">
        <f t="shared" si="93"/>
        <v>1.11</v>
      </c>
      <c r="V328" s="2">
        <f t="shared" si="94"/>
        <v>666</v>
      </c>
      <c r="W328" s="2">
        <f t="shared" si="95"/>
        <v>194.25</v>
      </c>
      <c r="X328" s="2">
        <f t="shared" si="96"/>
        <v>1443</v>
      </c>
      <c r="Y328" s="2">
        <f t="shared" si="97"/>
        <v>129.87</v>
      </c>
      <c r="Z328" s="2">
        <f t="shared" si="98"/>
        <v>34.632</v>
      </c>
      <c r="AA328" s="2">
        <f t="shared" si="99"/>
        <v>358.752</v>
      </c>
      <c r="AB328" s="2">
        <f t="shared" si="100"/>
        <v>1.79376</v>
      </c>
    </row>
    <row r="329" spans="1:28" ht="15">
      <c r="A329" s="145" t="str">
        <f t="shared" si="88"/>
        <v>Hay Rake-Double-17'</v>
      </c>
      <c r="B329" s="140" t="s">
        <v>309</v>
      </c>
      <c r="C329" s="140" t="s">
        <v>301</v>
      </c>
      <c r="D329" s="140">
        <v>17</v>
      </c>
      <c r="E329" s="140"/>
      <c r="F329" s="140"/>
      <c r="G329" s="147">
        <f t="shared" si="75"/>
        <v>0</v>
      </c>
      <c r="H329" s="151">
        <v>2621</v>
      </c>
      <c r="I329" s="150">
        <v>30</v>
      </c>
      <c r="J329" s="150">
        <v>80</v>
      </c>
      <c r="K329" s="150">
        <v>8</v>
      </c>
      <c r="L329" s="150">
        <v>200</v>
      </c>
      <c r="M329" s="3">
        <v>0</v>
      </c>
      <c r="N329" s="34">
        <f t="shared" si="89"/>
        <v>1600</v>
      </c>
      <c r="O329" s="28">
        <v>1</v>
      </c>
      <c r="P329" s="41">
        <v>0.32</v>
      </c>
      <c r="Q329" s="41">
        <v>2.1</v>
      </c>
      <c r="R329" s="31">
        <f t="shared" si="90"/>
        <v>28.561432792665308</v>
      </c>
      <c r="S329" s="31">
        <f t="shared" si="91"/>
        <v>0.14280716396332654</v>
      </c>
      <c r="T329" s="32">
        <f t="shared" si="92"/>
        <v>262.1</v>
      </c>
      <c r="U329" s="32">
        <f t="shared" si="93"/>
        <v>1.3105000000000002</v>
      </c>
      <c r="V329" s="2">
        <f t="shared" si="94"/>
        <v>786.3</v>
      </c>
      <c r="W329" s="2">
        <f t="shared" si="95"/>
        <v>229.3375</v>
      </c>
      <c r="X329" s="2">
        <f t="shared" si="96"/>
        <v>1703.65</v>
      </c>
      <c r="Y329" s="2">
        <f t="shared" si="97"/>
        <v>153.3285</v>
      </c>
      <c r="Z329" s="2">
        <f t="shared" si="98"/>
        <v>40.887600000000006</v>
      </c>
      <c r="AA329" s="2">
        <f t="shared" si="99"/>
        <v>423.55359999999996</v>
      </c>
      <c r="AB329" s="2">
        <f t="shared" si="100"/>
        <v>2.117768</v>
      </c>
    </row>
    <row r="330" spans="1:28" ht="15">
      <c r="A330" s="145" t="str">
        <f t="shared" si="88"/>
        <v>Hay Tedder-17'</v>
      </c>
      <c r="B330" s="140" t="s">
        <v>310</v>
      </c>
      <c r="C330" s="140" t="s">
        <v>301</v>
      </c>
      <c r="D330" s="140">
        <v>17</v>
      </c>
      <c r="E330" s="140"/>
      <c r="F330" s="140"/>
      <c r="G330" s="147">
        <f t="shared" si="75"/>
        <v>0</v>
      </c>
      <c r="H330" s="143">
        <v>4500</v>
      </c>
      <c r="I330" s="150">
        <v>30</v>
      </c>
      <c r="J330" s="150">
        <v>80</v>
      </c>
      <c r="K330" s="150">
        <v>8</v>
      </c>
      <c r="L330" s="150">
        <v>200</v>
      </c>
      <c r="M330" s="3">
        <v>157.5</v>
      </c>
      <c r="N330" s="34">
        <f t="shared" si="89"/>
        <v>1600</v>
      </c>
      <c r="O330" s="28">
        <v>1</v>
      </c>
      <c r="P330" s="41">
        <v>0.32</v>
      </c>
      <c r="Q330" s="41">
        <v>2.1</v>
      </c>
      <c r="R330" s="31">
        <f t="shared" si="90"/>
        <v>49.037179537197204</v>
      </c>
      <c r="S330" s="31">
        <f t="shared" si="91"/>
        <v>0.24518589768598603</v>
      </c>
      <c r="T330" s="32">
        <f t="shared" si="92"/>
        <v>450</v>
      </c>
      <c r="U330" s="32">
        <f t="shared" si="93"/>
        <v>2.25</v>
      </c>
      <c r="V330" s="2">
        <f t="shared" si="94"/>
        <v>1350</v>
      </c>
      <c r="W330" s="2">
        <f t="shared" si="95"/>
        <v>393.75</v>
      </c>
      <c r="X330" s="2">
        <f t="shared" si="96"/>
        <v>2925</v>
      </c>
      <c r="Y330" s="2">
        <f t="shared" si="97"/>
        <v>263.25</v>
      </c>
      <c r="Z330" s="2">
        <f t="shared" si="98"/>
        <v>70.2</v>
      </c>
      <c r="AA330" s="2">
        <f t="shared" si="99"/>
        <v>727.2</v>
      </c>
      <c r="AB330" s="2">
        <f t="shared" si="100"/>
        <v>3.636</v>
      </c>
    </row>
    <row r="331" spans="1:28" ht="15">
      <c r="A331" s="145" t="str">
        <f t="shared" si="88"/>
        <v>Hay Trailer-20'</v>
      </c>
      <c r="B331" s="140" t="s">
        <v>311</v>
      </c>
      <c r="C331" s="140" t="s">
        <v>107</v>
      </c>
      <c r="D331" s="140">
        <v>20</v>
      </c>
      <c r="E331" s="140"/>
      <c r="F331" s="140"/>
      <c r="G331" s="147">
        <f t="shared" si="75"/>
        <v>0</v>
      </c>
      <c r="H331" s="151">
        <v>2733</v>
      </c>
      <c r="I331" s="150">
        <v>30</v>
      </c>
      <c r="J331" s="150">
        <v>80</v>
      </c>
      <c r="K331" s="150">
        <v>15</v>
      </c>
      <c r="L331" s="150">
        <v>200</v>
      </c>
      <c r="M331" s="3">
        <v>0</v>
      </c>
      <c r="N331" s="34">
        <f t="shared" si="89"/>
        <v>3000</v>
      </c>
      <c r="O331" s="28">
        <v>1</v>
      </c>
      <c r="P331" s="41">
        <v>0.32</v>
      </c>
      <c r="Q331" s="41">
        <v>2.1</v>
      </c>
      <c r="R331" s="31">
        <f t="shared" si="90"/>
        <v>29.781913705591105</v>
      </c>
      <c r="S331" s="31">
        <f t="shared" si="91"/>
        <v>0.14890956852795553</v>
      </c>
      <c r="T331" s="32">
        <f t="shared" si="92"/>
        <v>145.76000000000002</v>
      </c>
      <c r="U331" s="32">
        <f t="shared" si="93"/>
        <v>0.7288000000000001</v>
      </c>
      <c r="V331" s="2">
        <f t="shared" si="94"/>
        <v>819.9</v>
      </c>
      <c r="W331" s="2">
        <f t="shared" si="95"/>
        <v>127.53999999999999</v>
      </c>
      <c r="X331" s="2">
        <f t="shared" si="96"/>
        <v>1776.45</v>
      </c>
      <c r="Y331" s="2">
        <f t="shared" si="97"/>
        <v>159.8805</v>
      </c>
      <c r="Z331" s="2">
        <f t="shared" si="98"/>
        <v>42.6348</v>
      </c>
      <c r="AA331" s="2">
        <f t="shared" si="99"/>
        <v>330.0553</v>
      </c>
      <c r="AB331" s="2">
        <f t="shared" si="100"/>
        <v>1.6502765</v>
      </c>
    </row>
    <row r="332" spans="1:28" ht="15">
      <c r="A332" s="30" t="str">
        <f t="shared" si="88"/>
        <v>Header - Corn12R 20"</v>
      </c>
      <c r="B332" s="47" t="s">
        <v>238</v>
      </c>
      <c r="C332" s="47" t="s">
        <v>395</v>
      </c>
      <c r="D332" s="49">
        <v>13.3</v>
      </c>
      <c r="E332" s="3">
        <v>3.8</v>
      </c>
      <c r="F332" s="3">
        <v>0.85</v>
      </c>
      <c r="G332" s="84">
        <f>1/((D332*E332*5280*F332)/43560)</f>
        <v>0.19204357643334344</v>
      </c>
      <c r="H332" s="150">
        <v>54754</v>
      </c>
      <c r="I332" s="150">
        <v>40</v>
      </c>
      <c r="J332" s="150">
        <v>60</v>
      </c>
      <c r="K332" s="150">
        <v>8</v>
      </c>
      <c r="L332" s="150">
        <v>300</v>
      </c>
      <c r="M332" s="48">
        <v>0</v>
      </c>
      <c r="N332" s="34">
        <f t="shared" si="89"/>
        <v>2400</v>
      </c>
      <c r="O332" s="28">
        <v>1</v>
      </c>
      <c r="P332" s="41">
        <v>0.32</v>
      </c>
      <c r="Q332" s="41">
        <v>2.1</v>
      </c>
      <c r="R332" s="31">
        <f t="shared" si="90"/>
        <v>1398.0427924621729</v>
      </c>
      <c r="S332" s="31">
        <f t="shared" si="91"/>
        <v>4.660142641540577</v>
      </c>
      <c r="T332" s="32">
        <f t="shared" si="92"/>
        <v>4106.55</v>
      </c>
      <c r="U332" s="32">
        <f t="shared" si="93"/>
        <v>13.688500000000001</v>
      </c>
      <c r="V332" s="2">
        <f t="shared" si="94"/>
        <v>21901.6</v>
      </c>
      <c r="W332" s="2">
        <f t="shared" si="95"/>
        <v>4106.55</v>
      </c>
      <c r="X332" s="2">
        <f t="shared" si="96"/>
        <v>38327.8</v>
      </c>
      <c r="Y332" s="2">
        <f t="shared" si="97"/>
        <v>3449.502</v>
      </c>
      <c r="Z332" s="2">
        <f t="shared" si="98"/>
        <v>919.8672000000001</v>
      </c>
      <c r="AA332" s="2">
        <f t="shared" si="99"/>
        <v>8475.9192</v>
      </c>
      <c r="AB332" s="2">
        <f t="shared" si="100"/>
        <v>28.253064000000002</v>
      </c>
    </row>
    <row r="333" spans="1:28" ht="15">
      <c r="A333" s="30" t="str">
        <f t="shared" si="88"/>
        <v>Header - Corn12R 30"</v>
      </c>
      <c r="B333" s="47" t="s">
        <v>238</v>
      </c>
      <c r="C333" s="47" t="s">
        <v>396</v>
      </c>
      <c r="D333" s="49">
        <v>15</v>
      </c>
      <c r="E333" s="3">
        <v>3.8</v>
      </c>
      <c r="F333" s="3">
        <v>0.85</v>
      </c>
      <c r="G333" s="84">
        <f aca="true" t="shared" si="101" ref="G333:G352">1/((D333*E333*5280*F333)/43560)</f>
        <v>0.17027863777089783</v>
      </c>
      <c r="H333" s="150">
        <v>60328</v>
      </c>
      <c r="I333" s="150">
        <v>40</v>
      </c>
      <c r="J333" s="150">
        <v>60</v>
      </c>
      <c r="K333" s="150">
        <v>8</v>
      </c>
      <c r="L333" s="150">
        <v>300</v>
      </c>
      <c r="M333" s="48">
        <v>0</v>
      </c>
      <c r="N333" s="34">
        <f t="shared" si="89"/>
        <v>2400</v>
      </c>
      <c r="O333" s="28">
        <v>1</v>
      </c>
      <c r="P333" s="41">
        <v>0.32</v>
      </c>
      <c r="Q333" s="41">
        <v>2.1</v>
      </c>
      <c r="R333" s="31">
        <f t="shared" si="90"/>
        <v>1540.3646415541873</v>
      </c>
      <c r="S333" s="31">
        <f t="shared" si="91"/>
        <v>5.134548805180624</v>
      </c>
      <c r="T333" s="32">
        <f t="shared" si="92"/>
        <v>4524.6</v>
      </c>
      <c r="U333" s="32">
        <f t="shared" si="93"/>
        <v>15.082</v>
      </c>
      <c r="V333" s="2">
        <f t="shared" si="94"/>
        <v>24131.2</v>
      </c>
      <c r="W333" s="2">
        <f t="shared" si="95"/>
        <v>4524.6</v>
      </c>
      <c r="X333" s="2">
        <f t="shared" si="96"/>
        <v>42229.6</v>
      </c>
      <c r="Y333" s="2">
        <f t="shared" si="97"/>
        <v>3800.6639999999998</v>
      </c>
      <c r="Z333" s="2">
        <f t="shared" si="98"/>
        <v>1013.5104</v>
      </c>
      <c r="AA333" s="2">
        <f t="shared" si="99"/>
        <v>9338.7744</v>
      </c>
      <c r="AB333" s="2">
        <f t="shared" si="100"/>
        <v>31.129248</v>
      </c>
    </row>
    <row r="334" spans="1:28" ht="15">
      <c r="A334" s="30" t="str">
        <f t="shared" si="88"/>
        <v>Header - Corn4R 36"</v>
      </c>
      <c r="B334" s="47" t="s">
        <v>238</v>
      </c>
      <c r="C334" s="47" t="s">
        <v>387</v>
      </c>
      <c r="D334" s="49">
        <v>12</v>
      </c>
      <c r="E334" s="3">
        <v>3.8</v>
      </c>
      <c r="F334" s="3">
        <v>0.85</v>
      </c>
      <c r="G334" s="84">
        <f t="shared" si="101"/>
        <v>0.21284829721362233</v>
      </c>
      <c r="H334" s="150">
        <v>22681</v>
      </c>
      <c r="I334" s="150">
        <v>40</v>
      </c>
      <c r="J334" s="150">
        <v>60</v>
      </c>
      <c r="K334" s="150">
        <v>8</v>
      </c>
      <c r="L334" s="150">
        <v>300</v>
      </c>
      <c r="M334" s="48">
        <v>0</v>
      </c>
      <c r="N334" s="34">
        <f t="shared" si="89"/>
        <v>2400</v>
      </c>
      <c r="O334" s="28">
        <v>1</v>
      </c>
      <c r="P334" s="41">
        <v>0.32</v>
      </c>
      <c r="Q334" s="41">
        <v>2.1</v>
      </c>
      <c r="R334" s="31">
        <f t="shared" si="90"/>
        <v>579.1176640215243</v>
      </c>
      <c r="S334" s="31">
        <f t="shared" si="91"/>
        <v>1.930392213405081</v>
      </c>
      <c r="T334" s="32">
        <f t="shared" si="92"/>
        <v>1701.075</v>
      </c>
      <c r="U334" s="32">
        <f t="shared" si="93"/>
        <v>5.67025</v>
      </c>
      <c r="V334" s="2">
        <f t="shared" si="94"/>
        <v>9072.4</v>
      </c>
      <c r="W334" s="2">
        <f t="shared" si="95"/>
        <v>1701.075</v>
      </c>
      <c r="X334" s="2">
        <f t="shared" si="96"/>
        <v>15876.7</v>
      </c>
      <c r="Y334" s="2">
        <f t="shared" si="97"/>
        <v>1428.903</v>
      </c>
      <c r="Z334" s="2">
        <f t="shared" si="98"/>
        <v>381.04080000000005</v>
      </c>
      <c r="AA334" s="2">
        <f t="shared" si="99"/>
        <v>3511.0188</v>
      </c>
      <c r="AB334" s="2">
        <f t="shared" si="100"/>
        <v>11.703396</v>
      </c>
    </row>
    <row r="335" spans="1:28" ht="15">
      <c r="A335" s="30" t="str">
        <f t="shared" si="88"/>
        <v>Header - Corn6R 30"</v>
      </c>
      <c r="B335" s="47" t="s">
        <v>238</v>
      </c>
      <c r="C335" s="47" t="s">
        <v>365</v>
      </c>
      <c r="D335" s="49">
        <v>20</v>
      </c>
      <c r="E335" s="3">
        <v>3.8</v>
      </c>
      <c r="F335" s="3">
        <v>0.85</v>
      </c>
      <c r="G335" s="84">
        <f t="shared" si="101"/>
        <v>0.12770897832817338</v>
      </c>
      <c r="H335" s="150">
        <v>29750</v>
      </c>
      <c r="I335" s="150">
        <v>40</v>
      </c>
      <c r="J335" s="150">
        <v>60</v>
      </c>
      <c r="K335" s="150">
        <v>8</v>
      </c>
      <c r="L335" s="150">
        <v>300</v>
      </c>
      <c r="M335" s="48">
        <v>0</v>
      </c>
      <c r="N335" s="34">
        <f t="shared" si="89"/>
        <v>2400</v>
      </c>
      <c r="O335" s="28">
        <v>1</v>
      </c>
      <c r="P335" s="41">
        <v>0.32</v>
      </c>
      <c r="Q335" s="41">
        <v>2.1</v>
      </c>
      <c r="R335" s="31">
        <f t="shared" si="90"/>
        <v>759.6115914042745</v>
      </c>
      <c r="S335" s="31">
        <f t="shared" si="91"/>
        <v>2.532038638014248</v>
      </c>
      <c r="T335" s="32">
        <f t="shared" si="92"/>
        <v>2231.25</v>
      </c>
      <c r="U335" s="32">
        <f t="shared" si="93"/>
        <v>7.4375</v>
      </c>
      <c r="V335" s="2">
        <f t="shared" si="94"/>
        <v>11900</v>
      </c>
      <c r="W335" s="2">
        <f t="shared" si="95"/>
        <v>2231.25</v>
      </c>
      <c r="X335" s="2">
        <f t="shared" si="96"/>
        <v>20825</v>
      </c>
      <c r="Y335" s="2">
        <f t="shared" si="97"/>
        <v>1874.25</v>
      </c>
      <c r="Z335" s="2">
        <f t="shared" si="98"/>
        <v>499.8</v>
      </c>
      <c r="AA335" s="2">
        <f t="shared" si="99"/>
        <v>4605.3</v>
      </c>
      <c r="AB335" s="2">
        <f t="shared" si="100"/>
        <v>15.351</v>
      </c>
    </row>
    <row r="336" spans="1:28" ht="15">
      <c r="A336" s="30" t="str">
        <f t="shared" si="88"/>
        <v>Header - Corn6R 36"</v>
      </c>
      <c r="B336" s="47" t="s">
        <v>238</v>
      </c>
      <c r="C336" s="47" t="s">
        <v>388</v>
      </c>
      <c r="D336" s="49">
        <v>18</v>
      </c>
      <c r="E336" s="3">
        <v>3.5</v>
      </c>
      <c r="F336" s="3">
        <v>0.8</v>
      </c>
      <c r="G336" s="84">
        <f t="shared" si="101"/>
        <v>0.1636904761904762</v>
      </c>
      <c r="H336" s="150">
        <v>32388</v>
      </c>
      <c r="I336" s="150">
        <v>40</v>
      </c>
      <c r="J336" s="150">
        <v>60</v>
      </c>
      <c r="K336" s="150">
        <v>12</v>
      </c>
      <c r="L336" s="150">
        <v>200</v>
      </c>
      <c r="M336" s="48">
        <v>0</v>
      </c>
      <c r="N336" s="34">
        <f t="shared" si="89"/>
        <v>2400</v>
      </c>
      <c r="O336" s="28">
        <v>1</v>
      </c>
      <c r="P336" s="41">
        <v>0.32</v>
      </c>
      <c r="Q336" s="41">
        <v>2.1</v>
      </c>
      <c r="R336" s="31">
        <f t="shared" si="90"/>
        <v>352.9369268557207</v>
      </c>
      <c r="S336" s="31">
        <f t="shared" si="91"/>
        <v>1.7646846342786033</v>
      </c>
      <c r="T336" s="32">
        <f t="shared" si="92"/>
        <v>1619.3999999999999</v>
      </c>
      <c r="U336" s="32">
        <f t="shared" si="93"/>
        <v>8.097</v>
      </c>
      <c r="V336" s="2">
        <f t="shared" si="94"/>
        <v>12955.2</v>
      </c>
      <c r="W336" s="2">
        <f t="shared" si="95"/>
        <v>1619.3999999999999</v>
      </c>
      <c r="X336" s="2">
        <f t="shared" si="96"/>
        <v>22671.6</v>
      </c>
      <c r="Y336" s="2">
        <f t="shared" si="97"/>
        <v>2040.4439999999997</v>
      </c>
      <c r="Z336" s="2">
        <f t="shared" si="98"/>
        <v>544.1184</v>
      </c>
      <c r="AA336" s="2">
        <f t="shared" si="99"/>
        <v>4203.962399999999</v>
      </c>
      <c r="AB336" s="2">
        <f t="shared" si="100"/>
        <v>21.019811999999998</v>
      </c>
    </row>
    <row r="337" spans="1:28" ht="15">
      <c r="A337" s="30" t="str">
        <f t="shared" si="88"/>
        <v>Header - Corn8R 30"</v>
      </c>
      <c r="B337" s="47" t="s">
        <v>238</v>
      </c>
      <c r="C337" s="47" t="s">
        <v>397</v>
      </c>
      <c r="D337" s="49">
        <v>20</v>
      </c>
      <c r="E337" s="3">
        <v>3.5</v>
      </c>
      <c r="F337" s="3">
        <v>0.8</v>
      </c>
      <c r="G337" s="84">
        <f t="shared" si="101"/>
        <v>0.14732142857142858</v>
      </c>
      <c r="H337" s="150">
        <v>39099</v>
      </c>
      <c r="I337" s="150">
        <v>40</v>
      </c>
      <c r="J337" s="150">
        <v>60</v>
      </c>
      <c r="K337" s="150">
        <v>12</v>
      </c>
      <c r="L337" s="150">
        <v>200</v>
      </c>
      <c r="M337" s="48">
        <v>0</v>
      </c>
      <c r="N337" s="34">
        <f t="shared" si="89"/>
        <v>2400</v>
      </c>
      <c r="O337" s="28">
        <v>1</v>
      </c>
      <c r="P337" s="41">
        <v>0.32</v>
      </c>
      <c r="Q337" s="41">
        <v>2.1</v>
      </c>
      <c r="R337" s="31">
        <f t="shared" si="90"/>
        <v>426.0677072721941</v>
      </c>
      <c r="S337" s="31">
        <f t="shared" si="91"/>
        <v>2.130338536360971</v>
      </c>
      <c r="T337" s="32">
        <f t="shared" si="92"/>
        <v>1954.95</v>
      </c>
      <c r="U337" s="32">
        <f t="shared" si="93"/>
        <v>9.774750000000001</v>
      </c>
      <c r="V337" s="2">
        <f t="shared" si="94"/>
        <v>15639.6</v>
      </c>
      <c r="W337" s="2">
        <f t="shared" si="95"/>
        <v>1954.95</v>
      </c>
      <c r="X337" s="2">
        <f t="shared" si="96"/>
        <v>27369.3</v>
      </c>
      <c r="Y337" s="2">
        <f t="shared" si="97"/>
        <v>2463.2369999999996</v>
      </c>
      <c r="Z337" s="2">
        <f t="shared" si="98"/>
        <v>656.8632</v>
      </c>
      <c r="AA337" s="2">
        <f t="shared" si="99"/>
        <v>5075.0502</v>
      </c>
      <c r="AB337" s="2">
        <f t="shared" si="100"/>
        <v>25.375251</v>
      </c>
    </row>
    <row r="338" spans="1:28" ht="15">
      <c r="A338" s="30" t="str">
        <f t="shared" si="88"/>
        <v>Header - Corn8R 36"</v>
      </c>
      <c r="B338" s="47" t="s">
        <v>238</v>
      </c>
      <c r="C338" s="47" t="s">
        <v>389</v>
      </c>
      <c r="D338" s="49">
        <v>24</v>
      </c>
      <c r="E338" s="3">
        <v>3.5</v>
      </c>
      <c r="F338" s="3">
        <v>0.8</v>
      </c>
      <c r="G338" s="84">
        <f t="shared" si="101"/>
        <v>0.12276785714285715</v>
      </c>
      <c r="H338" s="150">
        <v>41473</v>
      </c>
      <c r="I338" s="150">
        <v>40</v>
      </c>
      <c r="J338" s="150">
        <v>60</v>
      </c>
      <c r="K338" s="150">
        <v>12</v>
      </c>
      <c r="L338" s="150">
        <v>200</v>
      </c>
      <c r="M338" s="48">
        <v>0</v>
      </c>
      <c r="N338" s="34">
        <f t="shared" si="89"/>
        <v>2400</v>
      </c>
      <c r="O338" s="28">
        <v>1</v>
      </c>
      <c r="P338" s="41">
        <v>0.32</v>
      </c>
      <c r="Q338" s="41">
        <v>2.1</v>
      </c>
      <c r="R338" s="31">
        <f t="shared" si="90"/>
        <v>451.93754376581774</v>
      </c>
      <c r="S338" s="31">
        <f t="shared" si="91"/>
        <v>2.2596877188290887</v>
      </c>
      <c r="T338" s="32">
        <f t="shared" si="92"/>
        <v>2073.65</v>
      </c>
      <c r="U338" s="32">
        <f t="shared" si="93"/>
        <v>10.36825</v>
      </c>
      <c r="V338" s="2">
        <f t="shared" si="94"/>
        <v>16589.2</v>
      </c>
      <c r="W338" s="2">
        <f t="shared" si="95"/>
        <v>2073.65</v>
      </c>
      <c r="X338" s="2">
        <f t="shared" si="96"/>
        <v>29031.1</v>
      </c>
      <c r="Y338" s="2">
        <f t="shared" si="97"/>
        <v>2612.799</v>
      </c>
      <c r="Z338" s="2">
        <f t="shared" si="98"/>
        <v>696.7464</v>
      </c>
      <c r="AA338" s="2">
        <f t="shared" si="99"/>
        <v>5383.1954000000005</v>
      </c>
      <c r="AB338" s="2">
        <f t="shared" si="100"/>
        <v>26.915977</v>
      </c>
    </row>
    <row r="339" spans="1:28" ht="15">
      <c r="A339" s="145" t="str">
        <f t="shared" si="88"/>
        <v>Header - Soybean15' Flex</v>
      </c>
      <c r="B339" s="140" t="s">
        <v>236</v>
      </c>
      <c r="C339" s="140" t="s">
        <v>243</v>
      </c>
      <c r="D339" s="146">
        <v>22</v>
      </c>
      <c r="E339" s="143">
        <v>3.8</v>
      </c>
      <c r="F339" s="143">
        <v>0.85</v>
      </c>
      <c r="G339" s="147">
        <f t="shared" si="101"/>
        <v>0.11609907120743036</v>
      </c>
      <c r="H339" s="151">
        <v>15023</v>
      </c>
      <c r="I339" s="150">
        <v>40</v>
      </c>
      <c r="J339" s="150">
        <v>60</v>
      </c>
      <c r="K339" s="150">
        <v>8</v>
      </c>
      <c r="L339" s="150">
        <v>300</v>
      </c>
      <c r="M339" s="48">
        <v>0</v>
      </c>
      <c r="N339" s="34">
        <f t="shared" si="89"/>
        <v>2400</v>
      </c>
      <c r="O339" s="28">
        <v>1</v>
      </c>
      <c r="P339" s="41">
        <v>0.32</v>
      </c>
      <c r="Q339" s="41">
        <v>2.1</v>
      </c>
      <c r="R339" s="31">
        <f t="shared" si="90"/>
        <v>383.5847037871064</v>
      </c>
      <c r="S339" s="31">
        <f t="shared" si="91"/>
        <v>1.2786156792903547</v>
      </c>
      <c r="T339" s="32">
        <f t="shared" si="92"/>
        <v>1126.725</v>
      </c>
      <c r="U339" s="32">
        <f t="shared" si="93"/>
        <v>3.7557499999999995</v>
      </c>
      <c r="V339" s="2">
        <f t="shared" si="94"/>
        <v>6009.2</v>
      </c>
      <c r="W339" s="2">
        <f t="shared" si="95"/>
        <v>1126.725</v>
      </c>
      <c r="X339" s="2">
        <f t="shared" si="96"/>
        <v>10516.1</v>
      </c>
      <c r="Y339" s="2">
        <f t="shared" si="97"/>
        <v>946.449</v>
      </c>
      <c r="Z339" s="2">
        <f t="shared" si="98"/>
        <v>252.3864</v>
      </c>
      <c r="AA339" s="2">
        <f t="shared" si="99"/>
        <v>2325.5604</v>
      </c>
      <c r="AB339" s="2">
        <f t="shared" si="100"/>
        <v>7.751867999999999</v>
      </c>
    </row>
    <row r="340" spans="1:28" ht="15">
      <c r="A340" s="145" t="str">
        <f t="shared" si="88"/>
        <v>Header - Soybean18' Flex</v>
      </c>
      <c r="B340" s="140" t="s">
        <v>236</v>
      </c>
      <c r="C340" s="140" t="s">
        <v>244</v>
      </c>
      <c r="D340" s="146">
        <v>25</v>
      </c>
      <c r="E340" s="143">
        <v>3.8</v>
      </c>
      <c r="F340" s="143">
        <v>0.85</v>
      </c>
      <c r="G340" s="147">
        <f t="shared" si="101"/>
        <v>0.10216718266253871</v>
      </c>
      <c r="H340" s="151">
        <v>18729</v>
      </c>
      <c r="I340" s="150">
        <v>40</v>
      </c>
      <c r="J340" s="150">
        <v>60</v>
      </c>
      <c r="K340" s="150">
        <v>8</v>
      </c>
      <c r="L340" s="150">
        <v>300</v>
      </c>
      <c r="M340" s="48">
        <v>0</v>
      </c>
      <c r="N340" s="34">
        <f t="shared" si="89"/>
        <v>2400</v>
      </c>
      <c r="O340" s="28">
        <v>1</v>
      </c>
      <c r="P340" s="41">
        <v>0.32</v>
      </c>
      <c r="Q340" s="41">
        <v>2.1</v>
      </c>
      <c r="R340" s="31">
        <f t="shared" si="90"/>
        <v>478.21060488775316</v>
      </c>
      <c r="S340" s="31">
        <f t="shared" si="91"/>
        <v>1.594035349625844</v>
      </c>
      <c r="T340" s="32">
        <f t="shared" si="92"/>
        <v>1404.675</v>
      </c>
      <c r="U340" s="32">
        <f t="shared" si="93"/>
        <v>4.68225</v>
      </c>
      <c r="V340" s="2">
        <f t="shared" si="94"/>
        <v>7491.6</v>
      </c>
      <c r="W340" s="2">
        <f t="shared" si="95"/>
        <v>1404.675</v>
      </c>
      <c r="X340" s="2">
        <f t="shared" si="96"/>
        <v>13110.3</v>
      </c>
      <c r="Y340" s="2">
        <f t="shared" si="97"/>
        <v>1179.927</v>
      </c>
      <c r="Z340" s="2">
        <f t="shared" si="98"/>
        <v>314.6472</v>
      </c>
      <c r="AA340" s="2">
        <f t="shared" si="99"/>
        <v>2899.2492</v>
      </c>
      <c r="AB340" s="2">
        <f t="shared" si="100"/>
        <v>9.664164000000001</v>
      </c>
    </row>
    <row r="341" spans="1:28" ht="15">
      <c r="A341" s="145" t="str">
        <f t="shared" si="88"/>
        <v>Header - Soybean22' Flex</v>
      </c>
      <c r="B341" s="140" t="s">
        <v>236</v>
      </c>
      <c r="C341" s="140" t="s">
        <v>237</v>
      </c>
      <c r="D341" s="146">
        <v>30</v>
      </c>
      <c r="E341" s="143">
        <v>3.8</v>
      </c>
      <c r="F341" s="143">
        <v>0.85</v>
      </c>
      <c r="G341" s="147">
        <f t="shared" si="101"/>
        <v>0.08513931888544891</v>
      </c>
      <c r="H341" s="151">
        <v>17376</v>
      </c>
      <c r="I341" s="150">
        <v>40</v>
      </c>
      <c r="J341" s="150">
        <v>60</v>
      </c>
      <c r="K341" s="150">
        <v>8</v>
      </c>
      <c r="L341" s="150">
        <v>300</v>
      </c>
      <c r="M341" s="48">
        <v>0</v>
      </c>
      <c r="N341" s="34">
        <f t="shared" si="89"/>
        <v>2400</v>
      </c>
      <c r="O341" s="28">
        <v>1</v>
      </c>
      <c r="P341" s="41">
        <v>0.32</v>
      </c>
      <c r="Q341" s="41">
        <v>2.1</v>
      </c>
      <c r="R341" s="31">
        <f t="shared" si="90"/>
        <v>443.66423570556884</v>
      </c>
      <c r="S341" s="31">
        <f t="shared" si="91"/>
        <v>1.4788807856852295</v>
      </c>
      <c r="T341" s="32">
        <f t="shared" si="92"/>
        <v>1303.2</v>
      </c>
      <c r="U341" s="32">
        <f t="shared" si="93"/>
        <v>4.344</v>
      </c>
      <c r="V341" s="2">
        <f t="shared" si="94"/>
        <v>6950.4</v>
      </c>
      <c r="W341" s="2">
        <f t="shared" si="95"/>
        <v>1303.2</v>
      </c>
      <c r="X341" s="2">
        <f t="shared" si="96"/>
        <v>12163.2</v>
      </c>
      <c r="Y341" s="2">
        <f t="shared" si="97"/>
        <v>1094.688</v>
      </c>
      <c r="Z341" s="2">
        <f t="shared" si="98"/>
        <v>291.9168</v>
      </c>
      <c r="AA341" s="2">
        <f t="shared" si="99"/>
        <v>2689.8048</v>
      </c>
      <c r="AB341" s="2">
        <f t="shared" si="100"/>
        <v>8.966016</v>
      </c>
    </row>
    <row r="342" spans="1:28" ht="15">
      <c r="A342" s="145" t="str">
        <f t="shared" si="88"/>
        <v>Header - Soybean25' Flex</v>
      </c>
      <c r="B342" s="140" t="s">
        <v>236</v>
      </c>
      <c r="C342" s="140" t="s">
        <v>240</v>
      </c>
      <c r="D342" s="146">
        <v>15</v>
      </c>
      <c r="E342" s="143">
        <v>3.8</v>
      </c>
      <c r="F342" s="143">
        <v>0.85</v>
      </c>
      <c r="G342" s="147">
        <f t="shared" si="101"/>
        <v>0.17027863777089783</v>
      </c>
      <c r="H342" s="151">
        <v>19271</v>
      </c>
      <c r="I342" s="150">
        <v>40</v>
      </c>
      <c r="J342" s="150">
        <v>60</v>
      </c>
      <c r="K342" s="150">
        <v>8</v>
      </c>
      <c r="L342" s="150">
        <v>300</v>
      </c>
      <c r="M342" s="48">
        <v>0</v>
      </c>
      <c r="N342" s="34">
        <f t="shared" si="89"/>
        <v>2400</v>
      </c>
      <c r="O342" s="28">
        <v>1</v>
      </c>
      <c r="P342" s="41">
        <v>0.32</v>
      </c>
      <c r="Q342" s="41">
        <v>2.1</v>
      </c>
      <c r="R342" s="31">
        <f t="shared" si="90"/>
        <v>492.04957909081594</v>
      </c>
      <c r="S342" s="31">
        <f t="shared" si="91"/>
        <v>1.640165263636053</v>
      </c>
      <c r="T342" s="32">
        <f t="shared" si="92"/>
        <v>1445.325</v>
      </c>
      <c r="U342" s="32">
        <f t="shared" si="93"/>
        <v>4.81775</v>
      </c>
      <c r="V342" s="2">
        <f t="shared" si="94"/>
        <v>7708.4</v>
      </c>
      <c r="W342" s="2">
        <f t="shared" si="95"/>
        <v>1445.325</v>
      </c>
      <c r="X342" s="2">
        <f t="shared" si="96"/>
        <v>13489.7</v>
      </c>
      <c r="Y342" s="2">
        <f t="shared" si="97"/>
        <v>1214.073</v>
      </c>
      <c r="Z342" s="2">
        <f t="shared" si="98"/>
        <v>323.75280000000004</v>
      </c>
      <c r="AA342" s="2">
        <f t="shared" si="99"/>
        <v>2983.1508000000003</v>
      </c>
      <c r="AB342" s="2">
        <f t="shared" si="100"/>
        <v>9.943836000000001</v>
      </c>
    </row>
    <row r="343" spans="1:28" ht="15">
      <c r="A343" s="145" t="str">
        <f t="shared" si="88"/>
        <v>Header - Soybean30' Flex</v>
      </c>
      <c r="B343" s="140" t="s">
        <v>236</v>
      </c>
      <c r="C343" s="140" t="s">
        <v>242</v>
      </c>
      <c r="D343" s="146">
        <v>18</v>
      </c>
      <c r="E343" s="143">
        <v>3.8</v>
      </c>
      <c r="F343" s="143">
        <v>0.85</v>
      </c>
      <c r="G343" s="147">
        <f t="shared" si="101"/>
        <v>0.14189886480908157</v>
      </c>
      <c r="H343" s="151">
        <v>22029</v>
      </c>
      <c r="I343" s="150">
        <v>40</v>
      </c>
      <c r="J343" s="150">
        <v>60</v>
      </c>
      <c r="K343" s="150">
        <v>8</v>
      </c>
      <c r="L343" s="150">
        <v>300</v>
      </c>
      <c r="M343" s="48">
        <v>0</v>
      </c>
      <c r="N343" s="34">
        <f t="shared" si="89"/>
        <v>2400</v>
      </c>
      <c r="O343" s="28">
        <v>1</v>
      </c>
      <c r="P343" s="41">
        <v>0.32</v>
      </c>
      <c r="Q343" s="41">
        <v>2.1</v>
      </c>
      <c r="R343" s="31">
        <f t="shared" si="90"/>
        <v>562.470041917471</v>
      </c>
      <c r="S343" s="31">
        <f t="shared" si="91"/>
        <v>1.8749001397249034</v>
      </c>
      <c r="T343" s="32">
        <f t="shared" si="92"/>
        <v>1652.175</v>
      </c>
      <c r="U343" s="32">
        <f t="shared" si="93"/>
        <v>5.50725</v>
      </c>
      <c r="V343" s="2">
        <f t="shared" si="94"/>
        <v>8811.6</v>
      </c>
      <c r="W343" s="2">
        <f t="shared" si="95"/>
        <v>1652.175</v>
      </c>
      <c r="X343" s="2">
        <f t="shared" si="96"/>
        <v>15420.3</v>
      </c>
      <c r="Y343" s="2">
        <f t="shared" si="97"/>
        <v>1387.8269999999998</v>
      </c>
      <c r="Z343" s="2">
        <f t="shared" si="98"/>
        <v>370.0872</v>
      </c>
      <c r="AA343" s="2">
        <f t="shared" si="99"/>
        <v>3410.0891999999994</v>
      </c>
      <c r="AB343" s="2">
        <f t="shared" si="100"/>
        <v>11.366963999999998</v>
      </c>
    </row>
    <row r="344" spans="1:28" ht="15">
      <c r="A344" s="30" t="str">
        <f t="shared" si="88"/>
        <v>Header Wheat/Sorghum18' Rigid</v>
      </c>
      <c r="B344" s="47" t="s">
        <v>234</v>
      </c>
      <c r="C344" s="47" t="s">
        <v>245</v>
      </c>
      <c r="D344" s="49">
        <v>22</v>
      </c>
      <c r="E344" s="3">
        <v>3.8</v>
      </c>
      <c r="F344" s="3">
        <v>0.85</v>
      </c>
      <c r="G344" s="84">
        <f t="shared" si="101"/>
        <v>0.11609907120743036</v>
      </c>
      <c r="H344" s="150">
        <v>17184</v>
      </c>
      <c r="I344" s="150">
        <v>40</v>
      </c>
      <c r="J344" s="150">
        <v>60</v>
      </c>
      <c r="K344" s="150">
        <v>8</v>
      </c>
      <c r="L344" s="150">
        <v>300</v>
      </c>
      <c r="M344" s="48">
        <v>0</v>
      </c>
      <c r="N344" s="34">
        <f t="shared" si="89"/>
        <v>2400</v>
      </c>
      <c r="O344" s="28">
        <v>1</v>
      </c>
      <c r="P344" s="41">
        <v>0.32</v>
      </c>
      <c r="Q344" s="41">
        <v>2.1</v>
      </c>
      <c r="R344" s="31">
        <f t="shared" si="90"/>
        <v>438.76186846020346</v>
      </c>
      <c r="S344" s="31">
        <f t="shared" si="91"/>
        <v>1.4625395615340115</v>
      </c>
      <c r="T344" s="32">
        <f t="shared" si="92"/>
        <v>1288.8</v>
      </c>
      <c r="U344" s="32">
        <f t="shared" si="93"/>
        <v>4.296</v>
      </c>
      <c r="V344" s="2">
        <f t="shared" si="94"/>
        <v>6873.6</v>
      </c>
      <c r="W344" s="2">
        <f t="shared" si="95"/>
        <v>1288.8</v>
      </c>
      <c r="X344" s="2">
        <f t="shared" si="96"/>
        <v>12028.8</v>
      </c>
      <c r="Y344" s="2">
        <f t="shared" si="97"/>
        <v>1082.5919999999999</v>
      </c>
      <c r="Z344" s="2">
        <f t="shared" si="98"/>
        <v>288.6912</v>
      </c>
      <c r="AA344" s="2">
        <f t="shared" si="99"/>
        <v>2660.0832</v>
      </c>
      <c r="AB344" s="2">
        <f t="shared" si="100"/>
        <v>8.866944</v>
      </c>
    </row>
    <row r="345" spans="1:28" ht="15">
      <c r="A345" s="30" t="str">
        <f t="shared" si="88"/>
        <v>Header Wheat/Sorghum22' Rigid</v>
      </c>
      <c r="B345" s="47" t="s">
        <v>234</v>
      </c>
      <c r="C345" s="47" t="s">
        <v>235</v>
      </c>
      <c r="D345" s="49">
        <v>25</v>
      </c>
      <c r="E345" s="3">
        <v>3.8</v>
      </c>
      <c r="F345" s="3">
        <v>0.85</v>
      </c>
      <c r="G345" s="84">
        <f t="shared" si="101"/>
        <v>0.10216718266253871</v>
      </c>
      <c r="H345" s="150">
        <v>18225</v>
      </c>
      <c r="I345" s="150">
        <v>40</v>
      </c>
      <c r="J345" s="150">
        <v>60</v>
      </c>
      <c r="K345" s="150">
        <v>8</v>
      </c>
      <c r="L345" s="150">
        <v>300</v>
      </c>
      <c r="M345" s="48">
        <v>0</v>
      </c>
      <c r="N345" s="34">
        <f t="shared" si="89"/>
        <v>2400</v>
      </c>
      <c r="O345" s="28">
        <v>1</v>
      </c>
      <c r="P345" s="41">
        <v>0.32</v>
      </c>
      <c r="Q345" s="41">
        <v>2.1</v>
      </c>
      <c r="R345" s="31">
        <f t="shared" si="90"/>
        <v>465.341890868669</v>
      </c>
      <c r="S345" s="31">
        <f t="shared" si="91"/>
        <v>1.5511396362288967</v>
      </c>
      <c r="T345" s="32">
        <f t="shared" si="92"/>
        <v>1366.875</v>
      </c>
      <c r="U345" s="32">
        <f t="shared" si="93"/>
        <v>4.55625</v>
      </c>
      <c r="V345" s="2">
        <f t="shared" si="94"/>
        <v>7290</v>
      </c>
      <c r="W345" s="2">
        <f t="shared" si="95"/>
        <v>1366.875</v>
      </c>
      <c r="X345" s="2">
        <f t="shared" si="96"/>
        <v>12757.5</v>
      </c>
      <c r="Y345" s="2">
        <f t="shared" si="97"/>
        <v>1148.175</v>
      </c>
      <c r="Z345" s="2">
        <f t="shared" si="98"/>
        <v>306.18</v>
      </c>
      <c r="AA345" s="2">
        <f t="shared" si="99"/>
        <v>2821.23</v>
      </c>
      <c r="AB345" s="2">
        <f t="shared" si="100"/>
        <v>9.4041</v>
      </c>
    </row>
    <row r="346" spans="1:28" ht="15">
      <c r="A346" s="30" t="str">
        <f t="shared" si="88"/>
        <v>Header Wheat/Sorghum25' Rigid</v>
      </c>
      <c r="B346" s="47" t="s">
        <v>234</v>
      </c>
      <c r="C346" s="47" t="s">
        <v>239</v>
      </c>
      <c r="D346" s="49">
        <v>30</v>
      </c>
      <c r="E346" s="3">
        <v>3.8</v>
      </c>
      <c r="F346" s="3">
        <v>0.85</v>
      </c>
      <c r="G346" s="84">
        <f t="shared" si="101"/>
        <v>0.08513931888544891</v>
      </c>
      <c r="H346" s="150">
        <v>18472</v>
      </c>
      <c r="I346" s="150">
        <v>40</v>
      </c>
      <c r="J346" s="150">
        <v>60</v>
      </c>
      <c r="K346" s="150">
        <v>8</v>
      </c>
      <c r="L346" s="150">
        <v>300</v>
      </c>
      <c r="M346" s="48">
        <v>0</v>
      </c>
      <c r="N346" s="34">
        <f t="shared" si="89"/>
        <v>2400</v>
      </c>
      <c r="O346" s="28">
        <v>1</v>
      </c>
      <c r="P346" s="41">
        <v>0.32</v>
      </c>
      <c r="Q346" s="41">
        <v>2.1</v>
      </c>
      <c r="R346" s="31">
        <f t="shared" si="90"/>
        <v>471.6485820645297</v>
      </c>
      <c r="S346" s="31">
        <f t="shared" si="91"/>
        <v>1.572161940215099</v>
      </c>
      <c r="T346" s="32">
        <f t="shared" si="92"/>
        <v>1385.4</v>
      </c>
      <c r="U346" s="32">
        <f t="shared" si="93"/>
        <v>4.618</v>
      </c>
      <c r="V346" s="2">
        <f t="shared" si="94"/>
        <v>7388.8</v>
      </c>
      <c r="W346" s="2">
        <f t="shared" si="95"/>
        <v>1385.4</v>
      </c>
      <c r="X346" s="2">
        <f t="shared" si="96"/>
        <v>12930.4</v>
      </c>
      <c r="Y346" s="2">
        <f t="shared" si="97"/>
        <v>1163.7359999999999</v>
      </c>
      <c r="Z346" s="2">
        <f t="shared" si="98"/>
        <v>310.32959999999997</v>
      </c>
      <c r="AA346" s="2">
        <f t="shared" si="99"/>
        <v>2859.4656</v>
      </c>
      <c r="AB346" s="2">
        <f t="shared" si="100"/>
        <v>9.531552</v>
      </c>
    </row>
    <row r="347" spans="1:28" ht="15">
      <c r="A347" s="30" t="str">
        <f t="shared" si="88"/>
        <v>Header Wheat/Sorghum30'  Rigid</v>
      </c>
      <c r="B347" s="47" t="s">
        <v>234</v>
      </c>
      <c r="C347" s="47" t="s">
        <v>241</v>
      </c>
      <c r="D347" s="49">
        <v>18</v>
      </c>
      <c r="E347" s="3">
        <v>3.8</v>
      </c>
      <c r="F347" s="3">
        <v>0.85</v>
      </c>
      <c r="G347" s="84">
        <f t="shared" si="101"/>
        <v>0.14189886480908157</v>
      </c>
      <c r="H347" s="150">
        <v>20826</v>
      </c>
      <c r="I347" s="150">
        <v>40</v>
      </c>
      <c r="J347" s="150">
        <v>60</v>
      </c>
      <c r="K347" s="150">
        <v>8</v>
      </c>
      <c r="L347" s="150">
        <v>300</v>
      </c>
      <c r="M347" s="48">
        <v>0</v>
      </c>
      <c r="N347" s="34">
        <f t="shared" si="89"/>
        <v>2400</v>
      </c>
      <c r="O347" s="28">
        <v>1</v>
      </c>
      <c r="P347" s="41">
        <v>0.32</v>
      </c>
      <c r="Q347" s="41">
        <v>2.1</v>
      </c>
      <c r="R347" s="31">
        <f t="shared" si="90"/>
        <v>531.7536471457285</v>
      </c>
      <c r="S347" s="31">
        <f t="shared" si="91"/>
        <v>1.7725121571524283</v>
      </c>
      <c r="T347" s="32">
        <f t="shared" si="92"/>
        <v>1561.95</v>
      </c>
      <c r="U347" s="32">
        <f t="shared" si="93"/>
        <v>5.2065</v>
      </c>
      <c r="V347" s="2">
        <f t="shared" si="94"/>
        <v>8330.4</v>
      </c>
      <c r="W347" s="2">
        <f t="shared" si="95"/>
        <v>1561.95</v>
      </c>
      <c r="X347" s="2">
        <f t="shared" si="96"/>
        <v>14578.2</v>
      </c>
      <c r="Y347" s="2">
        <f t="shared" si="97"/>
        <v>1312.038</v>
      </c>
      <c r="Z347" s="2">
        <f t="shared" si="98"/>
        <v>349.8768</v>
      </c>
      <c r="AA347" s="2">
        <f t="shared" si="99"/>
        <v>3223.8648000000003</v>
      </c>
      <c r="AB347" s="2">
        <f t="shared" si="100"/>
        <v>10.746216</v>
      </c>
    </row>
    <row r="348" spans="1:28" ht="15">
      <c r="A348" s="166" t="s">
        <v>390</v>
      </c>
      <c r="B348" s="152" t="s">
        <v>385</v>
      </c>
      <c r="C348" s="152" t="s">
        <v>386</v>
      </c>
      <c r="D348" s="167">
        <v>6</v>
      </c>
      <c r="E348" s="168">
        <v>3.5</v>
      </c>
      <c r="F348" s="167">
        <v>0.7</v>
      </c>
      <c r="G348" s="147">
        <f t="shared" si="101"/>
        <v>0.5612244897959184</v>
      </c>
      <c r="H348" s="152">
        <v>6500</v>
      </c>
      <c r="I348" s="86">
        <v>20</v>
      </c>
      <c r="J348" s="86">
        <v>80</v>
      </c>
      <c r="K348" s="86">
        <v>10</v>
      </c>
      <c r="L348" s="86">
        <v>100</v>
      </c>
      <c r="M348" s="88"/>
      <c r="N348" s="34">
        <f t="shared" si="89"/>
        <v>1000</v>
      </c>
      <c r="O348" s="28">
        <v>1</v>
      </c>
      <c r="P348" s="41">
        <v>0.4</v>
      </c>
      <c r="Q348" s="41">
        <v>1.4</v>
      </c>
      <c r="R348" s="31">
        <f t="shared" si="90"/>
        <v>103.50786434390935</v>
      </c>
      <c r="S348" s="31">
        <f t="shared" si="91"/>
        <v>1.0350786434390935</v>
      </c>
      <c r="T348" s="32">
        <f t="shared" si="92"/>
        <v>520</v>
      </c>
      <c r="U348" s="32">
        <f t="shared" si="93"/>
        <v>5.2</v>
      </c>
      <c r="V348" s="2">
        <f t="shared" si="94"/>
        <v>1300</v>
      </c>
      <c r="W348" s="2">
        <f t="shared" si="95"/>
        <v>520</v>
      </c>
      <c r="X348" s="2">
        <f t="shared" si="96"/>
        <v>3900</v>
      </c>
      <c r="Y348" s="2">
        <f t="shared" si="97"/>
        <v>351</v>
      </c>
      <c r="Z348" s="2">
        <f t="shared" si="98"/>
        <v>93.60000000000001</v>
      </c>
      <c r="AA348" s="2">
        <f t="shared" si="99"/>
        <v>964.6</v>
      </c>
      <c r="AB348" s="2">
        <f t="shared" si="100"/>
        <v>9.646</v>
      </c>
    </row>
    <row r="349" spans="1:28" ht="15">
      <c r="A349" s="58" t="s">
        <v>391</v>
      </c>
      <c r="B349" s="86" t="s">
        <v>385</v>
      </c>
      <c r="C349" s="86" t="s">
        <v>388</v>
      </c>
      <c r="D349" s="86">
        <v>18</v>
      </c>
      <c r="E349" s="87">
        <v>3.5</v>
      </c>
      <c r="F349" s="87">
        <v>0.7</v>
      </c>
      <c r="G349" s="84">
        <f t="shared" si="101"/>
        <v>0.1870748299319728</v>
      </c>
      <c r="H349" s="153">
        <v>28890</v>
      </c>
      <c r="I349" s="86">
        <v>20</v>
      </c>
      <c r="J349" s="86">
        <v>80</v>
      </c>
      <c r="K349" s="86">
        <v>10</v>
      </c>
      <c r="L349" s="86">
        <v>100</v>
      </c>
      <c r="M349" s="88"/>
      <c r="N349" s="34">
        <f>+K349*L349</f>
        <v>1000</v>
      </c>
      <c r="O349" s="28">
        <v>1</v>
      </c>
      <c r="P349" s="41">
        <v>0.4</v>
      </c>
      <c r="Q349" s="41">
        <v>1.4</v>
      </c>
      <c r="R349" s="31">
        <f t="shared" si="90"/>
        <v>460.05264629162167</v>
      </c>
      <c r="S349" s="31">
        <f t="shared" si="91"/>
        <v>4.600526462916217</v>
      </c>
      <c r="T349" s="32">
        <f t="shared" si="92"/>
        <v>2311.2</v>
      </c>
      <c r="U349" s="32">
        <f t="shared" si="93"/>
        <v>23.112</v>
      </c>
      <c r="V349" s="2">
        <f t="shared" si="94"/>
        <v>5778</v>
      </c>
      <c r="W349" s="2">
        <f t="shared" si="95"/>
        <v>2311.2</v>
      </c>
      <c r="X349" s="2">
        <f t="shared" si="96"/>
        <v>17334</v>
      </c>
      <c r="Y349" s="2">
        <f t="shared" si="97"/>
        <v>1560.06</v>
      </c>
      <c r="Z349" s="2">
        <f t="shared" si="98"/>
        <v>416.016</v>
      </c>
      <c r="AA349" s="2">
        <f t="shared" si="99"/>
        <v>4287.276</v>
      </c>
      <c r="AB349" s="2">
        <f t="shared" si="100"/>
        <v>42.87276</v>
      </c>
    </row>
    <row r="350" spans="1:28" ht="15">
      <c r="A350" s="166" t="s">
        <v>392</v>
      </c>
      <c r="B350" s="152" t="s">
        <v>384</v>
      </c>
      <c r="C350" s="152" t="s">
        <v>386</v>
      </c>
      <c r="D350" s="152">
        <v>5</v>
      </c>
      <c r="E350" s="167">
        <v>2.5</v>
      </c>
      <c r="F350" s="167">
        <v>0.6</v>
      </c>
      <c r="G350" s="147">
        <f t="shared" si="101"/>
        <v>1.1</v>
      </c>
      <c r="H350" s="152">
        <v>28000</v>
      </c>
      <c r="I350" s="86">
        <v>20</v>
      </c>
      <c r="J350" s="86">
        <v>40</v>
      </c>
      <c r="K350" s="86">
        <v>10</v>
      </c>
      <c r="L350" s="86">
        <v>100</v>
      </c>
      <c r="M350" s="88"/>
      <c r="N350" s="34">
        <f>+K350*L350</f>
        <v>1000</v>
      </c>
      <c r="O350" s="28">
        <v>1</v>
      </c>
      <c r="P350" s="41">
        <v>0.6</v>
      </c>
      <c r="Q350" s="41">
        <v>1.4</v>
      </c>
      <c r="R350" s="31">
        <f>+(P350*H350)*((O350*L350/1000)^Q350)</f>
        <v>668.8200465298758</v>
      </c>
      <c r="S350" s="31">
        <f>+R350/L350</f>
        <v>6.688200465298758</v>
      </c>
      <c r="T350" s="32">
        <f>+(H350*J350/100)/K350</f>
        <v>1120</v>
      </c>
      <c r="U350" s="32">
        <f>+T350/L350</f>
        <v>11.2</v>
      </c>
      <c r="V350" s="2">
        <f>+(H350*I350/100)</f>
        <v>5600</v>
      </c>
      <c r="W350" s="2">
        <f>+(H350-V350)/K350</f>
        <v>2240</v>
      </c>
      <c r="X350" s="2">
        <f>+(V350+H350)/2</f>
        <v>16800</v>
      </c>
      <c r="Y350" s="2">
        <f>+X350*iir</f>
        <v>1512</v>
      </c>
      <c r="Z350" s="2">
        <f>+X350*ins_tax</f>
        <v>403.2</v>
      </c>
      <c r="AA350" s="2">
        <f>+Z350+Y350+W350</f>
        <v>4155.2</v>
      </c>
      <c r="AB350" s="2">
        <f>+AA350/L350</f>
        <v>41.552</v>
      </c>
    </row>
    <row r="351" spans="1:28" ht="15">
      <c r="A351" s="166" t="s">
        <v>393</v>
      </c>
      <c r="B351" s="152" t="s">
        <v>384</v>
      </c>
      <c r="C351" s="152" t="s">
        <v>387</v>
      </c>
      <c r="D351" s="152">
        <v>10</v>
      </c>
      <c r="E351" s="167">
        <v>2.5</v>
      </c>
      <c r="F351" s="167">
        <v>0.6</v>
      </c>
      <c r="G351" s="147">
        <f t="shared" si="101"/>
        <v>0.55</v>
      </c>
      <c r="H351" s="152">
        <v>65000</v>
      </c>
      <c r="I351" s="86">
        <v>20</v>
      </c>
      <c r="J351" s="86">
        <v>40</v>
      </c>
      <c r="K351" s="86">
        <v>10</v>
      </c>
      <c r="L351" s="86">
        <v>100</v>
      </c>
      <c r="M351" s="88"/>
      <c r="N351" s="34">
        <f>+K351*L351</f>
        <v>1000</v>
      </c>
      <c r="O351" s="28">
        <v>1</v>
      </c>
      <c r="P351" s="41">
        <v>0.6</v>
      </c>
      <c r="Q351" s="41">
        <v>1.4</v>
      </c>
      <c r="R351" s="31">
        <f>+(P351*H351)*((O351*L351/1000)^Q351)</f>
        <v>1552.6179651586401</v>
      </c>
      <c r="S351" s="31">
        <f>+R351/L351</f>
        <v>15.526179651586402</v>
      </c>
      <c r="T351" s="32">
        <f>+(H351*J351/100)/K351</f>
        <v>2600</v>
      </c>
      <c r="U351" s="32">
        <f>+T351/L351</f>
        <v>26</v>
      </c>
      <c r="V351" s="2">
        <f>+(H351*I351/100)</f>
        <v>13000</v>
      </c>
      <c r="W351" s="2">
        <f>+(H351-V351)/K351</f>
        <v>5200</v>
      </c>
      <c r="X351" s="2">
        <f>+(V351+H351)/2</f>
        <v>39000</v>
      </c>
      <c r="Y351" s="2">
        <f>+X351*iir</f>
        <v>3510</v>
      </c>
      <c r="Z351" s="2">
        <f>+X351*ins_tax</f>
        <v>936</v>
      </c>
      <c r="AA351" s="2">
        <f>+Z351+Y351+W351</f>
        <v>9646</v>
      </c>
      <c r="AB351" s="2">
        <f>+AA351/L351</f>
        <v>96.46</v>
      </c>
    </row>
    <row r="352" spans="1:28" ht="15">
      <c r="A352" s="166" t="s">
        <v>394</v>
      </c>
      <c r="B352" s="152" t="s">
        <v>384</v>
      </c>
      <c r="C352" s="152" t="s">
        <v>388</v>
      </c>
      <c r="D352" s="152">
        <v>15</v>
      </c>
      <c r="E352" s="167">
        <v>2.5</v>
      </c>
      <c r="F352" s="167">
        <v>0.6</v>
      </c>
      <c r="G352" s="147">
        <f t="shared" si="101"/>
        <v>0.3666666666666667</v>
      </c>
      <c r="H352" s="152">
        <v>85000</v>
      </c>
      <c r="I352" s="86">
        <v>20</v>
      </c>
      <c r="J352" s="86">
        <v>40</v>
      </c>
      <c r="K352" s="86">
        <v>10</v>
      </c>
      <c r="L352" s="86">
        <v>100</v>
      </c>
      <c r="M352" s="88"/>
      <c r="N352" s="34">
        <f>+K352*L352</f>
        <v>1000</v>
      </c>
      <c r="O352" s="28">
        <v>1</v>
      </c>
      <c r="P352" s="41">
        <v>0.6</v>
      </c>
      <c r="Q352" s="41">
        <v>1.4</v>
      </c>
      <c r="R352" s="31">
        <f>+(P352*H352)*((O352*L352/1000)^Q352)</f>
        <v>2030.3465698228372</v>
      </c>
      <c r="S352" s="31">
        <f>+R352/L352</f>
        <v>20.303465698228372</v>
      </c>
      <c r="T352" s="32">
        <f>+(H352*J352/100)/K352</f>
        <v>3400</v>
      </c>
      <c r="U352" s="32">
        <f>+T352/L352</f>
        <v>34</v>
      </c>
      <c r="V352" s="2">
        <f>+(H352*I352/100)</f>
        <v>17000</v>
      </c>
      <c r="W352" s="2">
        <f>+(H352-V352)/K352</f>
        <v>6800</v>
      </c>
      <c r="X352" s="2">
        <f>+(V352+H352)/2</f>
        <v>51000</v>
      </c>
      <c r="Y352" s="2">
        <f>+X352*iir</f>
        <v>4590</v>
      </c>
      <c r="Z352" s="2">
        <f>+X352*ins_tax</f>
        <v>1224</v>
      </c>
      <c r="AA352" s="2">
        <f>+Z352+Y352+W352</f>
        <v>12614</v>
      </c>
      <c r="AB352" s="2">
        <f>+AA352/L352</f>
        <v>126.14</v>
      </c>
    </row>
    <row r="353" spans="2:28" ht="15"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8"/>
      <c r="N353" s="91"/>
      <c r="O353" s="91"/>
      <c r="P353" s="91"/>
      <c r="Q353" s="91"/>
      <c r="R353" s="89"/>
      <c r="S353" s="89"/>
      <c r="T353" s="90"/>
      <c r="U353" s="90"/>
      <c r="V353" s="91"/>
      <c r="W353" s="91"/>
      <c r="X353" s="91"/>
      <c r="Y353" s="91"/>
      <c r="Z353" s="91"/>
      <c r="AA353" s="91"/>
      <c r="AB353" s="91"/>
    </row>
    <row r="354" spans="2:28" ht="15"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8"/>
      <c r="N354" s="91"/>
      <c r="O354" s="91"/>
      <c r="P354" s="91"/>
      <c r="Q354" s="91"/>
      <c r="R354" s="89"/>
      <c r="S354" s="89"/>
      <c r="T354" s="90"/>
      <c r="U354" s="90"/>
      <c r="V354" s="91"/>
      <c r="W354" s="91"/>
      <c r="X354" s="91"/>
      <c r="Y354" s="91"/>
      <c r="Z354" s="91"/>
      <c r="AA354" s="91"/>
      <c r="AB354" s="91"/>
    </row>
  </sheetData>
  <mergeCells count="5">
    <mergeCell ref="N304:S304"/>
    <mergeCell ref="T304:U304"/>
    <mergeCell ref="C2:G3"/>
    <mergeCell ref="N3:S3"/>
    <mergeCell ref="T3:U3"/>
  </mergeCells>
  <printOptions/>
  <pageMargins left="0.75" right="0.75" top="1" bottom="1" header="0.5" footer="0.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2">
      <pane xSplit="1" ySplit="1" topLeftCell="C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I5" sqref="I5"/>
    </sheetView>
  </sheetViews>
  <sheetFormatPr defaultColWidth="9.140625" defaultRowHeight="12.75"/>
  <cols>
    <col min="1" max="1" width="35.7109375" style="91" customWidth="1"/>
    <col min="2" max="2" width="25.57421875" style="86" customWidth="1"/>
    <col min="3" max="3" width="12.140625" style="86" customWidth="1"/>
    <col min="4" max="4" width="9.8515625" style="86" customWidth="1"/>
    <col min="5" max="5" width="13.28125" style="86" customWidth="1"/>
    <col min="6" max="9" width="9.8515625" style="86" customWidth="1"/>
    <col min="10" max="10" width="9.8515625" style="154" customWidth="1"/>
    <col min="11" max="11" width="11.8515625" style="155" customWidth="1"/>
    <col min="12" max="14" width="9.8515625" style="154" customWidth="1"/>
    <col min="15" max="15" width="14.421875" style="88" customWidth="1"/>
    <col min="16" max="16" width="13.28125" style="86" customWidth="1"/>
    <col min="17" max="17" width="15.8515625" style="86" customWidth="1"/>
    <col min="18" max="18" width="14.140625" style="86" customWidth="1"/>
    <col min="19" max="19" width="15.28125" style="86" customWidth="1"/>
    <col min="20" max="20" width="11.421875" style="86" customWidth="1"/>
    <col min="21" max="22" width="9.8515625" style="86" customWidth="1"/>
    <col min="23" max="23" width="46.421875" style="86" customWidth="1"/>
    <col min="24" max="16384" width="10.28125" style="91" customWidth="1"/>
  </cols>
  <sheetData>
    <row r="1" spans="1:21" ht="12.75">
      <c r="A1" s="91">
        <v>1</v>
      </c>
      <c r="B1" s="86">
        <v>2</v>
      </c>
      <c r="C1" s="91">
        <v>3</v>
      </c>
      <c r="D1" s="86">
        <v>4</v>
      </c>
      <c r="E1" s="91">
        <v>5</v>
      </c>
      <c r="F1" s="86">
        <v>6</v>
      </c>
      <c r="G1" s="91">
        <v>7</v>
      </c>
      <c r="H1" s="86">
        <v>8</v>
      </c>
      <c r="I1" s="91">
        <v>9</v>
      </c>
      <c r="J1" s="86">
        <v>10</v>
      </c>
      <c r="K1" s="91">
        <v>11</v>
      </c>
      <c r="L1" s="86">
        <v>12</v>
      </c>
      <c r="M1" s="91">
        <v>13</v>
      </c>
      <c r="N1" s="86">
        <v>14</v>
      </c>
      <c r="O1" s="91">
        <v>15</v>
      </c>
      <c r="P1" s="86">
        <v>16</v>
      </c>
      <c r="Q1" s="91">
        <v>17</v>
      </c>
      <c r="R1" s="86">
        <v>18</v>
      </c>
      <c r="S1" s="91">
        <v>19</v>
      </c>
      <c r="T1" s="86">
        <v>20</v>
      </c>
      <c r="U1" s="91">
        <v>21</v>
      </c>
    </row>
    <row r="2" spans="1:21" ht="12.75">
      <c r="A2" s="91" t="s">
        <v>253</v>
      </c>
      <c r="B2" s="86" t="s">
        <v>47</v>
      </c>
      <c r="C2" s="86" t="s">
        <v>48</v>
      </c>
      <c r="D2" s="86" t="s">
        <v>49</v>
      </c>
      <c r="E2" s="86" t="s">
        <v>50</v>
      </c>
      <c r="F2" s="86" t="s">
        <v>51</v>
      </c>
      <c r="G2" s="86" t="s">
        <v>52</v>
      </c>
      <c r="H2" s="86" t="s">
        <v>53</v>
      </c>
      <c r="I2" s="86" t="s">
        <v>54</v>
      </c>
      <c r="J2" s="154" t="s">
        <v>55</v>
      </c>
      <c r="K2" s="155" t="s">
        <v>147</v>
      </c>
      <c r="L2" s="154" t="s">
        <v>56</v>
      </c>
      <c r="M2" s="154" t="s">
        <v>57</v>
      </c>
      <c r="N2" s="154" t="s">
        <v>58</v>
      </c>
      <c r="O2" s="156" t="s">
        <v>314</v>
      </c>
      <c r="P2" s="157" t="s">
        <v>315</v>
      </c>
      <c r="Q2" s="157" t="s">
        <v>319</v>
      </c>
      <c r="R2" s="157" t="s">
        <v>316</v>
      </c>
      <c r="S2" s="157" t="s">
        <v>317</v>
      </c>
      <c r="T2" s="157" t="s">
        <v>320</v>
      </c>
      <c r="U2" s="157" t="s">
        <v>321</v>
      </c>
    </row>
    <row r="4" spans="1:24" ht="12.75">
      <c r="A4" s="91" t="str">
        <f aca="true" t="shared" si="0" ref="A4:A11">+CONCATENATE(B4,C4)</f>
        <v>Combine (200-249 hp)-240hp</v>
      </c>
      <c r="B4" s="141" t="s">
        <v>412</v>
      </c>
      <c r="C4" s="141" t="s">
        <v>411</v>
      </c>
      <c r="D4" s="135">
        <v>12.35</v>
      </c>
      <c r="E4" s="141">
        <v>164962</v>
      </c>
      <c r="F4" s="161">
        <v>30</v>
      </c>
      <c r="G4" s="135">
        <v>25</v>
      </c>
      <c r="H4" s="135">
        <v>12</v>
      </c>
      <c r="I4" s="135">
        <v>200</v>
      </c>
      <c r="J4" s="158">
        <f aca="true" t="shared" si="1" ref="J4:J29">+I4*H4</f>
        <v>2400</v>
      </c>
      <c r="K4" s="159">
        <f aca="true" t="shared" si="2" ref="K4:K29">+(E4*G4/100)/J4</f>
        <v>17.183541666666667</v>
      </c>
      <c r="L4" s="158">
        <v>1</v>
      </c>
      <c r="M4" s="135">
        <v>1</v>
      </c>
      <c r="N4" s="135"/>
      <c r="O4" s="89">
        <f>+E4*F4/100</f>
        <v>49488.6</v>
      </c>
      <c r="P4" s="89">
        <f>+(E4-O4)/H4</f>
        <v>9622.783333333333</v>
      </c>
      <c r="Q4" s="89">
        <f>+(O4+E4)/2</f>
        <v>107225.3</v>
      </c>
      <c r="R4" s="89">
        <f aca="true" t="shared" si="3" ref="R4:R29">+Q4*iir</f>
        <v>9650.277</v>
      </c>
      <c r="S4" s="89">
        <f aca="true" t="shared" si="4" ref="S4:S29">+Q4*ins_tax</f>
        <v>2573.4072</v>
      </c>
      <c r="T4" s="89">
        <f>+S4+R4+P4</f>
        <v>21846.467533333333</v>
      </c>
      <c r="U4" s="89">
        <f>+T4/I4</f>
        <v>109.23233766666667</v>
      </c>
      <c r="V4" s="135"/>
      <c r="W4" s="135"/>
      <c r="X4" s="88"/>
    </row>
    <row r="5" spans="1:24" ht="12.75">
      <c r="A5" s="91" t="str">
        <f t="shared" si="0"/>
        <v>Combine (250-299 hp)275hp</v>
      </c>
      <c r="B5" s="141" t="s">
        <v>168</v>
      </c>
      <c r="C5" s="141" t="s">
        <v>169</v>
      </c>
      <c r="D5" s="161">
        <v>14.15</v>
      </c>
      <c r="E5" s="141">
        <v>186987</v>
      </c>
      <c r="F5" s="161">
        <v>30</v>
      </c>
      <c r="G5" s="161">
        <v>25</v>
      </c>
      <c r="H5" s="160">
        <v>12</v>
      </c>
      <c r="I5" s="160">
        <v>200</v>
      </c>
      <c r="J5" s="158">
        <f t="shared" si="1"/>
        <v>2400</v>
      </c>
      <c r="K5" s="159">
        <f t="shared" si="2"/>
        <v>19.4778125</v>
      </c>
      <c r="L5" s="158">
        <v>1</v>
      </c>
      <c r="M5" s="135">
        <v>1</v>
      </c>
      <c r="N5" s="135"/>
      <c r="O5" s="89">
        <f aca="true" t="shared" si="5" ref="O5:O29">+E5*F5/100</f>
        <v>56096.1</v>
      </c>
      <c r="P5" s="89">
        <f aca="true" t="shared" si="6" ref="P5:P29">+(E5-O5)/H5</f>
        <v>10907.574999999999</v>
      </c>
      <c r="Q5" s="89">
        <f aca="true" t="shared" si="7" ref="Q5:Q29">+(O5+E5)/2</f>
        <v>121541.55</v>
      </c>
      <c r="R5" s="89">
        <f t="shared" si="3"/>
        <v>10938.7395</v>
      </c>
      <c r="S5" s="89">
        <f t="shared" si="4"/>
        <v>2916.9972000000002</v>
      </c>
      <c r="T5" s="89">
        <f aca="true" t="shared" si="8" ref="T5:T29">+S5+R5+P5</f>
        <v>24763.3117</v>
      </c>
      <c r="U5" s="89">
        <f aca="true" t="shared" si="9" ref="U5:U29">+T5/I5</f>
        <v>123.81655849999999</v>
      </c>
      <c r="V5" s="135"/>
      <c r="W5" s="135"/>
      <c r="X5" s="88"/>
    </row>
    <row r="6" spans="1:24" ht="12.75">
      <c r="A6" s="91" t="str">
        <f t="shared" si="0"/>
        <v>Combine (250-299hp)-Grass-295hp</v>
      </c>
      <c r="B6" s="141" t="s">
        <v>274</v>
      </c>
      <c r="C6" s="141" t="s">
        <v>275</v>
      </c>
      <c r="D6" s="161">
        <v>15.18</v>
      </c>
      <c r="E6" s="161">
        <v>211248</v>
      </c>
      <c r="F6" s="161">
        <v>30</v>
      </c>
      <c r="G6" s="161">
        <v>25</v>
      </c>
      <c r="H6" s="161">
        <v>8</v>
      </c>
      <c r="I6" s="161">
        <v>300</v>
      </c>
      <c r="J6" s="158">
        <f t="shared" si="1"/>
        <v>2400</v>
      </c>
      <c r="K6" s="159">
        <f t="shared" si="2"/>
        <v>22.005</v>
      </c>
      <c r="L6" s="158">
        <v>1</v>
      </c>
      <c r="M6" s="135">
        <v>1</v>
      </c>
      <c r="N6" s="135"/>
      <c r="O6" s="89">
        <f t="shared" si="5"/>
        <v>63374.4</v>
      </c>
      <c r="P6" s="89">
        <f t="shared" si="6"/>
        <v>18484.2</v>
      </c>
      <c r="Q6" s="89">
        <f t="shared" si="7"/>
        <v>137311.2</v>
      </c>
      <c r="R6" s="89">
        <f t="shared" si="3"/>
        <v>12358.008</v>
      </c>
      <c r="S6" s="89">
        <f t="shared" si="4"/>
        <v>3295.4688000000006</v>
      </c>
      <c r="T6" s="89">
        <f t="shared" si="8"/>
        <v>34137.6768</v>
      </c>
      <c r="U6" s="89">
        <f t="shared" si="9"/>
        <v>113.79225600000001</v>
      </c>
      <c r="V6" s="135"/>
      <c r="W6" s="135"/>
      <c r="X6" s="88"/>
    </row>
    <row r="7" spans="1:24" ht="12.75">
      <c r="A7" s="164" t="str">
        <f t="shared" si="0"/>
        <v>Combine (275-299 hp)-Track-290hp</v>
      </c>
      <c r="B7" s="165" t="s">
        <v>272</v>
      </c>
      <c r="C7" s="165" t="s">
        <v>278</v>
      </c>
      <c r="D7" s="163">
        <v>14.93</v>
      </c>
      <c r="E7" s="163">
        <v>246600</v>
      </c>
      <c r="F7" s="161">
        <v>30</v>
      </c>
      <c r="G7" s="161">
        <v>25</v>
      </c>
      <c r="H7" s="161">
        <v>8</v>
      </c>
      <c r="I7" s="161">
        <v>300</v>
      </c>
      <c r="J7" s="158">
        <f t="shared" si="1"/>
        <v>2400</v>
      </c>
      <c r="K7" s="159">
        <f t="shared" si="2"/>
        <v>25.6875</v>
      </c>
      <c r="L7" s="158">
        <v>1</v>
      </c>
      <c r="M7" s="135">
        <v>1</v>
      </c>
      <c r="N7" s="135"/>
      <c r="O7" s="89">
        <f t="shared" si="5"/>
        <v>73980</v>
      </c>
      <c r="P7" s="89">
        <f t="shared" si="6"/>
        <v>21577.5</v>
      </c>
      <c r="Q7" s="89">
        <f t="shared" si="7"/>
        <v>160290</v>
      </c>
      <c r="R7" s="89">
        <f t="shared" si="3"/>
        <v>14426.1</v>
      </c>
      <c r="S7" s="89">
        <f t="shared" si="4"/>
        <v>3846.96</v>
      </c>
      <c r="T7" s="89">
        <f t="shared" si="8"/>
        <v>39850.56</v>
      </c>
      <c r="U7" s="89">
        <f t="shared" si="9"/>
        <v>132.8352</v>
      </c>
      <c r="V7" s="135"/>
      <c r="W7" s="135"/>
      <c r="X7" s="88"/>
    </row>
    <row r="8" spans="1:24" ht="12.75">
      <c r="A8" s="91" t="str">
        <f t="shared" si="0"/>
        <v>Combine (300-349 hp)-325hp</v>
      </c>
      <c r="B8" s="141" t="s">
        <v>270</v>
      </c>
      <c r="C8" s="141" t="s">
        <v>170</v>
      </c>
      <c r="D8" s="161">
        <v>16.73</v>
      </c>
      <c r="E8" s="161">
        <v>214178</v>
      </c>
      <c r="F8" s="161">
        <v>30</v>
      </c>
      <c r="G8" s="161">
        <v>25</v>
      </c>
      <c r="H8" s="161">
        <v>8</v>
      </c>
      <c r="I8" s="161">
        <v>300</v>
      </c>
      <c r="J8" s="158">
        <f t="shared" si="1"/>
        <v>2400</v>
      </c>
      <c r="K8" s="159">
        <f t="shared" si="2"/>
        <v>22.310208333333332</v>
      </c>
      <c r="L8" s="158">
        <v>1</v>
      </c>
      <c r="M8" s="135">
        <v>1</v>
      </c>
      <c r="N8" s="135"/>
      <c r="O8" s="89">
        <f t="shared" si="5"/>
        <v>64253.4</v>
      </c>
      <c r="P8" s="89">
        <f t="shared" si="6"/>
        <v>18740.575</v>
      </c>
      <c r="Q8" s="89">
        <f t="shared" si="7"/>
        <v>139215.7</v>
      </c>
      <c r="R8" s="89">
        <f t="shared" si="3"/>
        <v>12529.413</v>
      </c>
      <c r="S8" s="89">
        <f t="shared" si="4"/>
        <v>3341.1768</v>
      </c>
      <c r="T8" s="89">
        <f t="shared" si="8"/>
        <v>34611.1648</v>
      </c>
      <c r="U8" s="89">
        <f t="shared" si="9"/>
        <v>115.37054933333333</v>
      </c>
      <c r="V8" s="135"/>
      <c r="W8" s="135"/>
      <c r="X8" s="88"/>
    </row>
    <row r="9" spans="1:24" ht="12.75">
      <c r="A9" s="164" t="str">
        <f t="shared" si="0"/>
        <v>Combine (300-349hp)-Track-320hp</v>
      </c>
      <c r="B9" s="165" t="s">
        <v>273</v>
      </c>
      <c r="C9" s="165" t="s">
        <v>277</v>
      </c>
      <c r="D9" s="163">
        <v>16.47</v>
      </c>
      <c r="E9" s="163">
        <v>253800</v>
      </c>
      <c r="F9" s="161">
        <v>30</v>
      </c>
      <c r="G9" s="161">
        <v>25</v>
      </c>
      <c r="H9" s="161">
        <v>8</v>
      </c>
      <c r="I9" s="161">
        <v>300</v>
      </c>
      <c r="J9" s="158">
        <f t="shared" si="1"/>
        <v>2400</v>
      </c>
      <c r="K9" s="159">
        <f t="shared" si="2"/>
        <v>26.4375</v>
      </c>
      <c r="L9" s="158">
        <v>1</v>
      </c>
      <c r="M9" s="135">
        <v>1</v>
      </c>
      <c r="N9" s="135"/>
      <c r="O9" s="89">
        <f t="shared" si="5"/>
        <v>76140</v>
      </c>
      <c r="P9" s="89">
        <f t="shared" si="6"/>
        <v>22207.5</v>
      </c>
      <c r="Q9" s="89">
        <f t="shared" si="7"/>
        <v>164970</v>
      </c>
      <c r="R9" s="89">
        <f t="shared" si="3"/>
        <v>14847.3</v>
      </c>
      <c r="S9" s="89">
        <f t="shared" si="4"/>
        <v>3959.28</v>
      </c>
      <c r="T9" s="89">
        <f t="shared" si="8"/>
        <v>41014.08</v>
      </c>
      <c r="U9" s="89">
        <f t="shared" si="9"/>
        <v>136.7136</v>
      </c>
      <c r="V9" s="135"/>
      <c r="W9" s="135"/>
      <c r="X9" s="88"/>
    </row>
    <row r="10" spans="1:24" ht="12.75">
      <c r="A10" s="91" t="str">
        <f t="shared" si="0"/>
        <v>Combine (350-379 hp)-370hp</v>
      </c>
      <c r="B10" s="141" t="s">
        <v>271</v>
      </c>
      <c r="C10" s="141" t="s">
        <v>171</v>
      </c>
      <c r="D10" s="161">
        <v>19.04</v>
      </c>
      <c r="E10" s="161">
        <v>235707</v>
      </c>
      <c r="F10" s="161">
        <v>30</v>
      </c>
      <c r="G10" s="161">
        <v>25</v>
      </c>
      <c r="H10" s="161">
        <v>8</v>
      </c>
      <c r="I10" s="161">
        <v>300</v>
      </c>
      <c r="J10" s="158">
        <f t="shared" si="1"/>
        <v>2400</v>
      </c>
      <c r="K10" s="159">
        <f t="shared" si="2"/>
        <v>24.5528125</v>
      </c>
      <c r="L10" s="158">
        <v>1</v>
      </c>
      <c r="M10" s="135">
        <v>1</v>
      </c>
      <c r="N10" s="135"/>
      <c r="O10" s="89">
        <f t="shared" si="5"/>
        <v>70712.1</v>
      </c>
      <c r="P10" s="89">
        <f t="shared" si="6"/>
        <v>20624.3625</v>
      </c>
      <c r="Q10" s="89">
        <f t="shared" si="7"/>
        <v>153209.55</v>
      </c>
      <c r="R10" s="89">
        <f t="shared" si="3"/>
        <v>13788.859499999999</v>
      </c>
      <c r="S10" s="89">
        <f t="shared" si="4"/>
        <v>3677.0292</v>
      </c>
      <c r="T10" s="89">
        <f t="shared" si="8"/>
        <v>38090.2512</v>
      </c>
      <c r="U10" s="89">
        <f t="shared" si="9"/>
        <v>126.96750399999999</v>
      </c>
      <c r="V10" s="135"/>
      <c r="W10" s="135"/>
      <c r="X10" s="88"/>
    </row>
    <row r="11" spans="1:24" ht="12.75">
      <c r="A11" s="164" t="str">
        <f t="shared" si="0"/>
        <v>Combine (350-379 hp)-Track-365hp</v>
      </c>
      <c r="B11" s="165" t="s">
        <v>271</v>
      </c>
      <c r="C11" s="165" t="s">
        <v>276</v>
      </c>
      <c r="D11" s="163">
        <v>18.79</v>
      </c>
      <c r="E11" s="163">
        <v>286426</v>
      </c>
      <c r="F11" s="161">
        <v>30</v>
      </c>
      <c r="G11" s="161">
        <v>25</v>
      </c>
      <c r="H11" s="161">
        <v>8</v>
      </c>
      <c r="I11" s="161">
        <v>300</v>
      </c>
      <c r="J11" s="158">
        <f t="shared" si="1"/>
        <v>2400</v>
      </c>
      <c r="K11" s="159">
        <f t="shared" si="2"/>
        <v>29.836041666666667</v>
      </c>
      <c r="L11" s="158">
        <v>1</v>
      </c>
      <c r="M11" s="135">
        <v>1</v>
      </c>
      <c r="N11" s="135"/>
      <c r="O11" s="89">
        <f t="shared" si="5"/>
        <v>85927.8</v>
      </c>
      <c r="P11" s="89">
        <f t="shared" si="6"/>
        <v>25062.275</v>
      </c>
      <c r="Q11" s="89">
        <f t="shared" si="7"/>
        <v>186176.9</v>
      </c>
      <c r="R11" s="89">
        <f t="shared" si="3"/>
        <v>16755.921</v>
      </c>
      <c r="S11" s="89">
        <f t="shared" si="4"/>
        <v>4468.2456</v>
      </c>
      <c r="T11" s="89">
        <f t="shared" si="8"/>
        <v>46286.4416</v>
      </c>
      <c r="U11" s="89">
        <f t="shared" si="9"/>
        <v>154.28813866666667</v>
      </c>
      <c r="V11" s="135"/>
      <c r="W11" s="135"/>
      <c r="X11" s="88"/>
    </row>
    <row r="12" spans="1:24" ht="12.75">
      <c r="A12" s="91" t="str">
        <f aca="true" t="shared" si="10" ref="A12:A29">+CONCATENATE(B12,C12)</f>
        <v>Tractor ( 40-59 hp)-2WD 50</v>
      </c>
      <c r="B12" s="86" t="s">
        <v>259</v>
      </c>
      <c r="C12" s="86" t="s">
        <v>60</v>
      </c>
      <c r="D12" s="162">
        <v>2.5736</v>
      </c>
      <c r="E12" s="162">
        <v>27788</v>
      </c>
      <c r="F12" s="162">
        <v>20</v>
      </c>
      <c r="G12" s="162">
        <v>75</v>
      </c>
      <c r="H12" s="162">
        <v>14</v>
      </c>
      <c r="I12" s="162">
        <v>600</v>
      </c>
      <c r="J12" s="158">
        <f t="shared" si="1"/>
        <v>8400</v>
      </c>
      <c r="K12" s="159">
        <f t="shared" si="2"/>
        <v>2.4810714285714286</v>
      </c>
      <c r="L12" s="158">
        <v>1</v>
      </c>
      <c r="M12" s="158">
        <v>0.007</v>
      </c>
      <c r="N12" s="158">
        <v>2</v>
      </c>
      <c r="O12" s="89">
        <f t="shared" si="5"/>
        <v>5557.6</v>
      </c>
      <c r="P12" s="89">
        <f t="shared" si="6"/>
        <v>1587.8857142857144</v>
      </c>
      <c r="Q12" s="89">
        <f t="shared" si="7"/>
        <v>16672.8</v>
      </c>
      <c r="R12" s="89">
        <f t="shared" si="3"/>
        <v>1500.552</v>
      </c>
      <c r="S12" s="89">
        <f t="shared" si="4"/>
        <v>400.1472</v>
      </c>
      <c r="T12" s="89">
        <f t="shared" si="8"/>
        <v>3488.584914285714</v>
      </c>
      <c r="U12" s="89">
        <f t="shared" si="9"/>
        <v>5.81430819047619</v>
      </c>
      <c r="V12" s="88"/>
      <c r="W12" s="88"/>
      <c r="X12" s="88"/>
    </row>
    <row r="13" spans="1:24" ht="12.75">
      <c r="A13" s="91" t="str">
        <f t="shared" si="10"/>
        <v>Tractor ( 60-89 hp)-2WD 75</v>
      </c>
      <c r="B13" s="86" t="s">
        <v>260</v>
      </c>
      <c r="C13" s="86" t="s">
        <v>61</v>
      </c>
      <c r="D13" s="162">
        <v>3.8604</v>
      </c>
      <c r="E13" s="162">
        <v>37673</v>
      </c>
      <c r="F13" s="162">
        <v>20</v>
      </c>
      <c r="G13" s="162">
        <v>75</v>
      </c>
      <c r="H13" s="162">
        <v>14</v>
      </c>
      <c r="I13" s="162">
        <v>600</v>
      </c>
      <c r="J13" s="158">
        <f t="shared" si="1"/>
        <v>8400</v>
      </c>
      <c r="K13" s="159">
        <f t="shared" si="2"/>
        <v>3.3636607142857144</v>
      </c>
      <c r="L13" s="158">
        <v>1</v>
      </c>
      <c r="M13" s="158">
        <v>0.007</v>
      </c>
      <c r="N13" s="158">
        <v>2</v>
      </c>
      <c r="O13" s="89">
        <f t="shared" si="5"/>
        <v>7534.6</v>
      </c>
      <c r="P13" s="89">
        <f t="shared" si="6"/>
        <v>2152.7428571428572</v>
      </c>
      <c r="Q13" s="89">
        <f t="shared" si="7"/>
        <v>22603.8</v>
      </c>
      <c r="R13" s="89">
        <f t="shared" si="3"/>
        <v>2034.3419999999999</v>
      </c>
      <c r="S13" s="89">
        <f t="shared" si="4"/>
        <v>542.4912</v>
      </c>
      <c r="T13" s="89">
        <f t="shared" si="8"/>
        <v>4729.576057142857</v>
      </c>
      <c r="U13" s="89">
        <f t="shared" si="9"/>
        <v>7.8826267619047625</v>
      </c>
      <c r="V13" s="88"/>
      <c r="W13" s="88"/>
      <c r="X13" s="88"/>
    </row>
    <row r="14" spans="1:24" ht="12.75">
      <c r="A14" s="91" t="str">
        <f t="shared" si="10"/>
        <v>Tractor ( 90-119 hp)-2WD 105</v>
      </c>
      <c r="B14" s="86" t="s">
        <v>261</v>
      </c>
      <c r="C14" s="86" t="s">
        <v>62</v>
      </c>
      <c r="D14" s="162">
        <v>5.4046</v>
      </c>
      <c r="E14" s="162">
        <v>55050</v>
      </c>
      <c r="F14" s="162">
        <v>20</v>
      </c>
      <c r="G14" s="162">
        <v>60</v>
      </c>
      <c r="H14" s="162">
        <v>14</v>
      </c>
      <c r="I14" s="162">
        <v>600</v>
      </c>
      <c r="J14" s="158">
        <f t="shared" si="1"/>
        <v>8400</v>
      </c>
      <c r="K14" s="159">
        <f t="shared" si="2"/>
        <v>3.932142857142857</v>
      </c>
      <c r="L14" s="158">
        <v>1</v>
      </c>
      <c r="M14" s="158">
        <v>0.007</v>
      </c>
      <c r="N14" s="158">
        <v>2</v>
      </c>
      <c r="O14" s="89">
        <f t="shared" si="5"/>
        <v>11010</v>
      </c>
      <c r="P14" s="89">
        <f t="shared" si="6"/>
        <v>3145.714285714286</v>
      </c>
      <c r="Q14" s="89">
        <f t="shared" si="7"/>
        <v>33030</v>
      </c>
      <c r="R14" s="89">
        <f t="shared" si="3"/>
        <v>2972.7</v>
      </c>
      <c r="S14" s="89">
        <f t="shared" si="4"/>
        <v>792.72</v>
      </c>
      <c r="T14" s="89">
        <f t="shared" si="8"/>
        <v>6911.134285714286</v>
      </c>
      <c r="U14" s="89">
        <f t="shared" si="9"/>
        <v>11.518557142857144</v>
      </c>
      <c r="V14" s="88"/>
      <c r="W14" s="88"/>
      <c r="X14" s="88"/>
    </row>
    <row r="15" spans="1:24" ht="12.75">
      <c r="A15" s="91" t="str">
        <f t="shared" si="10"/>
        <v>Tractor (120-139 hp)-2WD 130</v>
      </c>
      <c r="B15" s="86" t="s">
        <v>262</v>
      </c>
      <c r="C15" s="86" t="s">
        <v>63</v>
      </c>
      <c r="D15" s="162">
        <v>6.6914</v>
      </c>
      <c r="E15" s="162">
        <v>72389</v>
      </c>
      <c r="F15" s="162">
        <v>20</v>
      </c>
      <c r="G15" s="162">
        <v>60</v>
      </c>
      <c r="H15" s="162">
        <v>14</v>
      </c>
      <c r="I15" s="162">
        <v>600</v>
      </c>
      <c r="J15" s="158">
        <f t="shared" si="1"/>
        <v>8400</v>
      </c>
      <c r="K15" s="159">
        <f t="shared" si="2"/>
        <v>5.170642857142857</v>
      </c>
      <c r="L15" s="158">
        <v>1</v>
      </c>
      <c r="M15" s="158">
        <v>0.007</v>
      </c>
      <c r="N15" s="158">
        <v>2</v>
      </c>
      <c r="O15" s="89">
        <f t="shared" si="5"/>
        <v>14477.8</v>
      </c>
      <c r="P15" s="89">
        <f t="shared" si="6"/>
        <v>4136.5142857142855</v>
      </c>
      <c r="Q15" s="89">
        <f t="shared" si="7"/>
        <v>43433.4</v>
      </c>
      <c r="R15" s="89">
        <f t="shared" si="3"/>
        <v>3909.006</v>
      </c>
      <c r="S15" s="89">
        <f t="shared" si="4"/>
        <v>1042.4016000000001</v>
      </c>
      <c r="T15" s="89">
        <f t="shared" si="8"/>
        <v>9087.921885714286</v>
      </c>
      <c r="U15" s="89">
        <f t="shared" si="9"/>
        <v>15.146536476190477</v>
      </c>
      <c r="V15" s="88"/>
      <c r="W15" s="88"/>
      <c r="X15" s="88"/>
    </row>
    <row r="16" spans="1:24" ht="12.75">
      <c r="A16" s="91" t="str">
        <f t="shared" si="10"/>
        <v>Tractor (140-159 hp)-2WD 150</v>
      </c>
      <c r="B16" s="86" t="s">
        <v>263</v>
      </c>
      <c r="C16" s="86" t="s">
        <v>64</v>
      </c>
      <c r="D16" s="162">
        <v>7.7209</v>
      </c>
      <c r="E16" s="162">
        <v>83238</v>
      </c>
      <c r="F16" s="162">
        <v>20</v>
      </c>
      <c r="G16" s="162">
        <v>60</v>
      </c>
      <c r="H16" s="162">
        <v>14</v>
      </c>
      <c r="I16" s="162">
        <v>600</v>
      </c>
      <c r="J16" s="158">
        <f t="shared" si="1"/>
        <v>8400</v>
      </c>
      <c r="K16" s="159">
        <f t="shared" si="2"/>
        <v>5.945571428571429</v>
      </c>
      <c r="L16" s="158">
        <v>1</v>
      </c>
      <c r="M16" s="158">
        <v>0.007</v>
      </c>
      <c r="N16" s="158">
        <v>2</v>
      </c>
      <c r="O16" s="89">
        <f t="shared" si="5"/>
        <v>16647.6</v>
      </c>
      <c r="P16" s="89">
        <f t="shared" si="6"/>
        <v>4756.457142857143</v>
      </c>
      <c r="Q16" s="89">
        <f t="shared" si="7"/>
        <v>49942.8</v>
      </c>
      <c r="R16" s="89">
        <f t="shared" si="3"/>
        <v>4494.852</v>
      </c>
      <c r="S16" s="89">
        <f t="shared" si="4"/>
        <v>1198.6272000000001</v>
      </c>
      <c r="T16" s="89">
        <f t="shared" si="8"/>
        <v>10449.936342857141</v>
      </c>
      <c r="U16" s="89">
        <f t="shared" si="9"/>
        <v>17.41656057142857</v>
      </c>
      <c r="V16" s="88"/>
      <c r="W16" s="88"/>
      <c r="X16" s="88"/>
    </row>
    <row r="17" spans="1:24" ht="12.75">
      <c r="A17" s="91" t="str">
        <f t="shared" si="10"/>
        <v>Tractor (140-159 hp)-MFWD 150</v>
      </c>
      <c r="B17" s="86" t="s">
        <v>263</v>
      </c>
      <c r="C17" s="86" t="s">
        <v>69</v>
      </c>
      <c r="D17" s="162">
        <v>7.7209</v>
      </c>
      <c r="E17" s="162">
        <v>99584</v>
      </c>
      <c r="F17" s="162">
        <v>20</v>
      </c>
      <c r="G17" s="162">
        <v>60</v>
      </c>
      <c r="H17" s="162">
        <v>14</v>
      </c>
      <c r="I17" s="162">
        <v>600</v>
      </c>
      <c r="J17" s="158">
        <f t="shared" si="1"/>
        <v>8400</v>
      </c>
      <c r="K17" s="159">
        <f t="shared" si="2"/>
        <v>7.113142857142857</v>
      </c>
      <c r="L17" s="158">
        <v>1</v>
      </c>
      <c r="M17" s="158">
        <v>0.003</v>
      </c>
      <c r="N17" s="158">
        <v>2</v>
      </c>
      <c r="O17" s="89">
        <f t="shared" si="5"/>
        <v>19916.8</v>
      </c>
      <c r="P17" s="89">
        <f t="shared" si="6"/>
        <v>5690.5142857142855</v>
      </c>
      <c r="Q17" s="89">
        <f t="shared" si="7"/>
        <v>59750.4</v>
      </c>
      <c r="R17" s="89">
        <f t="shared" si="3"/>
        <v>5377.536</v>
      </c>
      <c r="S17" s="89">
        <f t="shared" si="4"/>
        <v>1434.0096</v>
      </c>
      <c r="T17" s="89">
        <f t="shared" si="8"/>
        <v>12502.059885714287</v>
      </c>
      <c r="U17" s="89">
        <f t="shared" si="9"/>
        <v>20.836766476190476</v>
      </c>
      <c r="V17" s="88"/>
      <c r="W17" s="88"/>
      <c r="X17" s="88"/>
    </row>
    <row r="18" spans="1:24" ht="12.75">
      <c r="A18" s="91" t="str">
        <f t="shared" si="10"/>
        <v>Tractor (160-179 hp)-2WD 170</v>
      </c>
      <c r="B18" s="86" t="s">
        <v>264</v>
      </c>
      <c r="C18" s="86" t="s">
        <v>65</v>
      </c>
      <c r="D18" s="162">
        <v>8.7503</v>
      </c>
      <c r="E18" s="162">
        <v>92346</v>
      </c>
      <c r="F18" s="162">
        <v>20</v>
      </c>
      <c r="G18" s="162">
        <v>60</v>
      </c>
      <c r="H18" s="162">
        <v>14</v>
      </c>
      <c r="I18" s="162">
        <v>600</v>
      </c>
      <c r="J18" s="158">
        <f t="shared" si="1"/>
        <v>8400</v>
      </c>
      <c r="K18" s="159">
        <f t="shared" si="2"/>
        <v>6.596142857142857</v>
      </c>
      <c r="L18" s="158">
        <v>1</v>
      </c>
      <c r="M18" s="158">
        <v>0.007</v>
      </c>
      <c r="N18" s="158">
        <v>2</v>
      </c>
      <c r="O18" s="89">
        <f t="shared" si="5"/>
        <v>18469.2</v>
      </c>
      <c r="P18" s="89">
        <f t="shared" si="6"/>
        <v>5276.914285714286</v>
      </c>
      <c r="Q18" s="89">
        <f t="shared" si="7"/>
        <v>55407.6</v>
      </c>
      <c r="R18" s="89">
        <f t="shared" si="3"/>
        <v>4986.683999999999</v>
      </c>
      <c r="S18" s="89">
        <f t="shared" si="4"/>
        <v>1329.7824</v>
      </c>
      <c r="T18" s="89">
        <f t="shared" si="8"/>
        <v>11593.380685714284</v>
      </c>
      <c r="U18" s="89">
        <f t="shared" si="9"/>
        <v>19.322301142857143</v>
      </c>
      <c r="V18" s="88"/>
      <c r="W18" s="88"/>
      <c r="X18" s="88"/>
    </row>
    <row r="19" spans="1:24" ht="12.75">
      <c r="A19" s="91" t="str">
        <f t="shared" si="10"/>
        <v>Tractor (160-179 hp)-MFWD 170</v>
      </c>
      <c r="B19" s="86" t="s">
        <v>264</v>
      </c>
      <c r="C19" s="86" t="s">
        <v>70</v>
      </c>
      <c r="D19" s="162">
        <v>8.7503</v>
      </c>
      <c r="E19" s="162">
        <v>114517</v>
      </c>
      <c r="F19" s="162">
        <v>20</v>
      </c>
      <c r="G19" s="162">
        <v>60</v>
      </c>
      <c r="H19" s="162">
        <v>14</v>
      </c>
      <c r="I19" s="162">
        <v>600</v>
      </c>
      <c r="J19" s="158">
        <f t="shared" si="1"/>
        <v>8400</v>
      </c>
      <c r="K19" s="159">
        <f t="shared" si="2"/>
        <v>8.179785714285714</v>
      </c>
      <c r="L19" s="158">
        <v>1</v>
      </c>
      <c r="M19" s="158">
        <v>0.003</v>
      </c>
      <c r="N19" s="158">
        <v>2</v>
      </c>
      <c r="O19" s="89">
        <f t="shared" si="5"/>
        <v>22903.4</v>
      </c>
      <c r="P19" s="89">
        <f t="shared" si="6"/>
        <v>6543.828571428572</v>
      </c>
      <c r="Q19" s="89">
        <f t="shared" si="7"/>
        <v>68710.2</v>
      </c>
      <c r="R19" s="89">
        <f t="shared" si="3"/>
        <v>6183.918</v>
      </c>
      <c r="S19" s="89">
        <f t="shared" si="4"/>
        <v>1649.0448</v>
      </c>
      <c r="T19" s="89">
        <f t="shared" si="8"/>
        <v>14376.791371428571</v>
      </c>
      <c r="U19" s="89">
        <f t="shared" si="9"/>
        <v>23.961318952380953</v>
      </c>
      <c r="V19" s="88"/>
      <c r="W19" s="88"/>
      <c r="X19" s="88"/>
    </row>
    <row r="20" spans="1:24" ht="12.75">
      <c r="A20" s="91" t="str">
        <f t="shared" si="10"/>
        <v>Tractor (160-199 hp)-Track 180</v>
      </c>
      <c r="B20" s="86" t="s">
        <v>267</v>
      </c>
      <c r="C20" s="86" t="s">
        <v>71</v>
      </c>
      <c r="D20" s="162">
        <v>9.2651</v>
      </c>
      <c r="E20" s="162">
        <v>133374</v>
      </c>
      <c r="F20" s="162">
        <v>20</v>
      </c>
      <c r="G20" s="162">
        <v>60</v>
      </c>
      <c r="H20" s="162">
        <v>14</v>
      </c>
      <c r="I20" s="162">
        <v>600</v>
      </c>
      <c r="J20" s="158">
        <f t="shared" si="1"/>
        <v>8400</v>
      </c>
      <c r="K20" s="159">
        <f t="shared" si="2"/>
        <v>9.526714285714284</v>
      </c>
      <c r="L20" s="158">
        <v>1</v>
      </c>
      <c r="M20" s="158">
        <v>0.003</v>
      </c>
      <c r="N20" s="158">
        <v>2</v>
      </c>
      <c r="O20" s="89">
        <f t="shared" si="5"/>
        <v>26674.8</v>
      </c>
      <c r="P20" s="89">
        <f t="shared" si="6"/>
        <v>7621.371428571429</v>
      </c>
      <c r="Q20" s="89">
        <f t="shared" si="7"/>
        <v>80024.4</v>
      </c>
      <c r="R20" s="89">
        <f t="shared" si="3"/>
        <v>7202.195999999999</v>
      </c>
      <c r="S20" s="89">
        <f t="shared" si="4"/>
        <v>1920.5855999999999</v>
      </c>
      <c r="T20" s="89">
        <f t="shared" si="8"/>
        <v>16744.153028571425</v>
      </c>
      <c r="U20" s="89">
        <f t="shared" si="9"/>
        <v>27.90692171428571</v>
      </c>
      <c r="V20" s="88"/>
      <c r="W20" s="88"/>
      <c r="X20" s="88"/>
    </row>
    <row r="21" spans="1:24" ht="12.75">
      <c r="A21" s="91" t="str">
        <f t="shared" si="10"/>
        <v>Tractor (180-199 hp)-2WD 190</v>
      </c>
      <c r="B21" s="86" t="s">
        <v>265</v>
      </c>
      <c r="C21" s="86" t="s">
        <v>66</v>
      </c>
      <c r="D21" s="162">
        <v>9.7798</v>
      </c>
      <c r="E21" s="162">
        <v>107634</v>
      </c>
      <c r="F21" s="162">
        <v>20</v>
      </c>
      <c r="G21" s="162">
        <v>60</v>
      </c>
      <c r="H21" s="162">
        <v>14</v>
      </c>
      <c r="I21" s="162">
        <v>600</v>
      </c>
      <c r="J21" s="158">
        <f t="shared" si="1"/>
        <v>8400</v>
      </c>
      <c r="K21" s="159">
        <f t="shared" si="2"/>
        <v>7.688142857142857</v>
      </c>
      <c r="L21" s="158">
        <v>1</v>
      </c>
      <c r="M21" s="158">
        <v>0.007</v>
      </c>
      <c r="N21" s="158">
        <v>2</v>
      </c>
      <c r="O21" s="89">
        <f t="shared" si="5"/>
        <v>21526.8</v>
      </c>
      <c r="P21" s="89">
        <f t="shared" si="6"/>
        <v>6150.5142857142855</v>
      </c>
      <c r="Q21" s="89">
        <f t="shared" si="7"/>
        <v>64580.4</v>
      </c>
      <c r="R21" s="89">
        <f t="shared" si="3"/>
        <v>5812.236</v>
      </c>
      <c r="S21" s="89">
        <f t="shared" si="4"/>
        <v>1549.9296000000002</v>
      </c>
      <c r="T21" s="89">
        <f t="shared" si="8"/>
        <v>13512.679885714286</v>
      </c>
      <c r="U21" s="89">
        <f t="shared" si="9"/>
        <v>22.521133142857142</v>
      </c>
      <c r="V21" s="88"/>
      <c r="W21" s="88"/>
      <c r="X21" s="88"/>
    </row>
    <row r="22" spans="1:24" s="93" customFormat="1" ht="12.75">
      <c r="A22" s="91" t="str">
        <f t="shared" si="10"/>
        <v>Tractor (180-199 hp)-MFWD 190</v>
      </c>
      <c r="B22" s="86" t="s">
        <v>265</v>
      </c>
      <c r="C22" s="86" t="s">
        <v>72</v>
      </c>
      <c r="D22" s="162">
        <v>9.7798</v>
      </c>
      <c r="E22" s="162">
        <v>120623</v>
      </c>
      <c r="F22" s="162">
        <v>20</v>
      </c>
      <c r="G22" s="162">
        <v>60</v>
      </c>
      <c r="H22" s="162">
        <v>14</v>
      </c>
      <c r="I22" s="162">
        <v>600</v>
      </c>
      <c r="J22" s="158">
        <f t="shared" si="1"/>
        <v>8400</v>
      </c>
      <c r="K22" s="159">
        <f t="shared" si="2"/>
        <v>8.615928571428572</v>
      </c>
      <c r="L22" s="158">
        <v>1</v>
      </c>
      <c r="M22" s="158">
        <v>0.003</v>
      </c>
      <c r="N22" s="158">
        <v>2</v>
      </c>
      <c r="O22" s="89">
        <f t="shared" si="5"/>
        <v>24124.6</v>
      </c>
      <c r="P22" s="89">
        <f t="shared" si="6"/>
        <v>6892.742857142856</v>
      </c>
      <c r="Q22" s="89">
        <f t="shared" si="7"/>
        <v>72373.8</v>
      </c>
      <c r="R22" s="89">
        <f t="shared" si="3"/>
        <v>6513.642</v>
      </c>
      <c r="S22" s="89">
        <f t="shared" si="4"/>
        <v>1736.9712000000002</v>
      </c>
      <c r="T22" s="89">
        <f t="shared" si="8"/>
        <v>15143.356057142857</v>
      </c>
      <c r="U22" s="89">
        <f t="shared" si="9"/>
        <v>25.23892676190476</v>
      </c>
      <c r="V22" s="88"/>
      <c r="W22" s="88"/>
      <c r="X22" s="135"/>
    </row>
    <row r="23" spans="1:24" s="93" customFormat="1" ht="12.75">
      <c r="A23" s="91" t="str">
        <f t="shared" si="10"/>
        <v>Tractor (200-249 hp)-4WD 225</v>
      </c>
      <c r="B23" s="86" t="s">
        <v>266</v>
      </c>
      <c r="C23" s="86" t="s">
        <v>67</v>
      </c>
      <c r="D23" s="162">
        <v>11.5813</v>
      </c>
      <c r="E23" s="162">
        <v>145396</v>
      </c>
      <c r="F23" s="162">
        <v>20</v>
      </c>
      <c r="G23" s="162">
        <v>60</v>
      </c>
      <c r="H23" s="162">
        <v>14</v>
      </c>
      <c r="I23" s="162">
        <v>600</v>
      </c>
      <c r="J23" s="158">
        <f t="shared" si="1"/>
        <v>8400</v>
      </c>
      <c r="K23" s="159">
        <f t="shared" si="2"/>
        <v>10.385428571428573</v>
      </c>
      <c r="L23" s="158">
        <v>1</v>
      </c>
      <c r="M23" s="158">
        <v>0.003</v>
      </c>
      <c r="N23" s="158">
        <v>2</v>
      </c>
      <c r="O23" s="89">
        <f t="shared" si="5"/>
        <v>29079.2</v>
      </c>
      <c r="P23" s="89">
        <f t="shared" si="6"/>
        <v>8308.342857142858</v>
      </c>
      <c r="Q23" s="89">
        <f t="shared" si="7"/>
        <v>87237.6</v>
      </c>
      <c r="R23" s="89">
        <f t="shared" si="3"/>
        <v>7851.384</v>
      </c>
      <c r="S23" s="89">
        <f t="shared" si="4"/>
        <v>2093.7024</v>
      </c>
      <c r="T23" s="89">
        <f t="shared" si="8"/>
        <v>18253.42925714286</v>
      </c>
      <c r="U23" s="89">
        <f t="shared" si="9"/>
        <v>30.4223820952381</v>
      </c>
      <c r="V23" s="88"/>
      <c r="W23" s="88"/>
      <c r="X23" s="135"/>
    </row>
    <row r="24" spans="1:24" s="93" customFormat="1" ht="12.75">
      <c r="A24" s="91" t="str">
        <f t="shared" si="10"/>
        <v>Tractor (200-249 hp)-MFWD 225</v>
      </c>
      <c r="B24" s="86" t="s">
        <v>266</v>
      </c>
      <c r="C24" s="86" t="s">
        <v>68</v>
      </c>
      <c r="D24" s="162">
        <v>11.5813</v>
      </c>
      <c r="E24" s="162">
        <v>128077</v>
      </c>
      <c r="F24" s="162">
        <v>20</v>
      </c>
      <c r="G24" s="162">
        <v>60</v>
      </c>
      <c r="H24" s="162">
        <v>14</v>
      </c>
      <c r="I24" s="162">
        <v>600</v>
      </c>
      <c r="J24" s="158">
        <f t="shared" si="1"/>
        <v>8400</v>
      </c>
      <c r="K24" s="159">
        <f t="shared" si="2"/>
        <v>9.148357142857142</v>
      </c>
      <c r="L24" s="158">
        <v>1</v>
      </c>
      <c r="M24" s="158">
        <v>0.003</v>
      </c>
      <c r="N24" s="158">
        <v>2</v>
      </c>
      <c r="O24" s="89">
        <f t="shared" si="5"/>
        <v>25615.4</v>
      </c>
      <c r="P24" s="89">
        <f t="shared" si="6"/>
        <v>7318.685714285714</v>
      </c>
      <c r="Q24" s="89">
        <f t="shared" si="7"/>
        <v>76846.2</v>
      </c>
      <c r="R24" s="89">
        <f t="shared" si="3"/>
        <v>6916.157999999999</v>
      </c>
      <c r="S24" s="89">
        <f t="shared" si="4"/>
        <v>1844.3088</v>
      </c>
      <c r="T24" s="89">
        <f t="shared" si="8"/>
        <v>16079.152514285714</v>
      </c>
      <c r="U24" s="89">
        <f t="shared" si="9"/>
        <v>26.798587523809523</v>
      </c>
      <c r="V24" s="88"/>
      <c r="W24" s="88"/>
      <c r="X24" s="135"/>
    </row>
    <row r="25" spans="1:24" s="93" customFormat="1" ht="12.75">
      <c r="A25" s="91" t="str">
        <f t="shared" si="10"/>
        <v>Tractor (200-249 hp)-Track 225</v>
      </c>
      <c r="B25" s="86" t="s">
        <v>266</v>
      </c>
      <c r="C25" s="86" t="s">
        <v>73</v>
      </c>
      <c r="D25" s="162">
        <v>11.5813</v>
      </c>
      <c r="E25" s="162">
        <v>154527</v>
      </c>
      <c r="F25" s="162">
        <v>20</v>
      </c>
      <c r="G25" s="162">
        <v>60</v>
      </c>
      <c r="H25" s="162">
        <v>14</v>
      </c>
      <c r="I25" s="162">
        <v>600</v>
      </c>
      <c r="J25" s="158">
        <f t="shared" si="1"/>
        <v>8400</v>
      </c>
      <c r="K25" s="159">
        <f t="shared" si="2"/>
        <v>11.037642857142856</v>
      </c>
      <c r="L25" s="158">
        <v>1</v>
      </c>
      <c r="M25" s="158">
        <v>0.003</v>
      </c>
      <c r="N25" s="158">
        <v>2</v>
      </c>
      <c r="O25" s="89">
        <f t="shared" si="5"/>
        <v>30905.4</v>
      </c>
      <c r="P25" s="89">
        <f t="shared" si="6"/>
        <v>8830.114285714286</v>
      </c>
      <c r="Q25" s="89">
        <f t="shared" si="7"/>
        <v>92716.2</v>
      </c>
      <c r="R25" s="89">
        <f t="shared" si="3"/>
        <v>8344.457999999999</v>
      </c>
      <c r="S25" s="89">
        <f t="shared" si="4"/>
        <v>2225.1888</v>
      </c>
      <c r="T25" s="89">
        <f t="shared" si="8"/>
        <v>19399.761085714286</v>
      </c>
      <c r="U25" s="89">
        <f t="shared" si="9"/>
        <v>32.332935142857146</v>
      </c>
      <c r="V25" s="88"/>
      <c r="W25" s="88"/>
      <c r="X25" s="135"/>
    </row>
    <row r="26" spans="1:24" s="93" customFormat="1" ht="12.75">
      <c r="A26" s="91" t="str">
        <f t="shared" si="10"/>
        <v>Tractor (250-349 hp)-4WD 300</v>
      </c>
      <c r="B26" s="86" t="s">
        <v>268</v>
      </c>
      <c r="C26" s="86" t="s">
        <v>74</v>
      </c>
      <c r="D26" s="162">
        <v>15.4418</v>
      </c>
      <c r="E26" s="162">
        <v>153473</v>
      </c>
      <c r="F26" s="162">
        <v>20</v>
      </c>
      <c r="G26" s="162">
        <v>60</v>
      </c>
      <c r="H26" s="162">
        <v>14</v>
      </c>
      <c r="I26" s="162">
        <v>600</v>
      </c>
      <c r="J26" s="158">
        <f t="shared" si="1"/>
        <v>8400</v>
      </c>
      <c r="K26" s="159">
        <f t="shared" si="2"/>
        <v>10.962357142857144</v>
      </c>
      <c r="L26" s="158">
        <v>1</v>
      </c>
      <c r="M26" s="158">
        <v>0.003</v>
      </c>
      <c r="N26" s="158">
        <v>2</v>
      </c>
      <c r="O26" s="89">
        <f t="shared" si="5"/>
        <v>30694.6</v>
      </c>
      <c r="P26" s="89">
        <f t="shared" si="6"/>
        <v>8769.885714285714</v>
      </c>
      <c r="Q26" s="89">
        <f t="shared" si="7"/>
        <v>92083.8</v>
      </c>
      <c r="R26" s="89">
        <f t="shared" si="3"/>
        <v>8287.542</v>
      </c>
      <c r="S26" s="89">
        <f t="shared" si="4"/>
        <v>2210.0112</v>
      </c>
      <c r="T26" s="89">
        <f t="shared" si="8"/>
        <v>19267.43891428571</v>
      </c>
      <c r="U26" s="89">
        <f t="shared" si="9"/>
        <v>32.112398190476185</v>
      </c>
      <c r="V26" s="88"/>
      <c r="W26" s="88"/>
      <c r="X26" s="135"/>
    </row>
    <row r="27" spans="1:24" s="93" customFormat="1" ht="12.75">
      <c r="A27" s="91" t="str">
        <f t="shared" si="10"/>
        <v>Tractor (250-349 hp)-Track 300</v>
      </c>
      <c r="B27" s="86" t="s">
        <v>268</v>
      </c>
      <c r="C27" s="86" t="s">
        <v>75</v>
      </c>
      <c r="D27" s="162">
        <v>15.4418</v>
      </c>
      <c r="E27" s="162">
        <v>182615</v>
      </c>
      <c r="F27" s="162">
        <v>20</v>
      </c>
      <c r="G27" s="162">
        <v>60</v>
      </c>
      <c r="H27" s="162">
        <v>14</v>
      </c>
      <c r="I27" s="162">
        <v>600</v>
      </c>
      <c r="J27" s="158">
        <f t="shared" si="1"/>
        <v>8400</v>
      </c>
      <c r="K27" s="159">
        <f t="shared" si="2"/>
        <v>13.043928571428571</v>
      </c>
      <c r="L27" s="158">
        <v>1</v>
      </c>
      <c r="M27" s="158">
        <v>0.003</v>
      </c>
      <c r="N27" s="158">
        <v>2</v>
      </c>
      <c r="O27" s="89">
        <f t="shared" si="5"/>
        <v>36523</v>
      </c>
      <c r="P27" s="89">
        <f t="shared" si="6"/>
        <v>10435.142857142857</v>
      </c>
      <c r="Q27" s="89">
        <f t="shared" si="7"/>
        <v>109569</v>
      </c>
      <c r="R27" s="89">
        <f t="shared" si="3"/>
        <v>9861.21</v>
      </c>
      <c r="S27" s="89">
        <f t="shared" si="4"/>
        <v>2629.656</v>
      </c>
      <c r="T27" s="89">
        <f t="shared" si="8"/>
        <v>22926.008857142857</v>
      </c>
      <c r="U27" s="89">
        <f t="shared" si="9"/>
        <v>38.21001476190476</v>
      </c>
      <c r="V27" s="88"/>
      <c r="W27" s="88"/>
      <c r="X27" s="135"/>
    </row>
    <row r="28" spans="1:24" s="93" customFormat="1" ht="12.75">
      <c r="A28" s="91" t="str">
        <f t="shared" si="10"/>
        <v>Tractor (350-449 hp)-4WD 400</v>
      </c>
      <c r="B28" s="86" t="s">
        <v>269</v>
      </c>
      <c r="C28" s="86" t="s">
        <v>76</v>
      </c>
      <c r="D28" s="162">
        <v>20.589</v>
      </c>
      <c r="E28" s="162">
        <v>209363</v>
      </c>
      <c r="F28" s="162">
        <v>20</v>
      </c>
      <c r="G28" s="162">
        <v>60</v>
      </c>
      <c r="H28" s="162">
        <v>14</v>
      </c>
      <c r="I28" s="162">
        <v>600</v>
      </c>
      <c r="J28" s="158">
        <f t="shared" si="1"/>
        <v>8400</v>
      </c>
      <c r="K28" s="159">
        <f t="shared" si="2"/>
        <v>14.9545</v>
      </c>
      <c r="L28" s="158">
        <v>1</v>
      </c>
      <c r="M28" s="158">
        <v>0.003</v>
      </c>
      <c r="N28" s="158">
        <v>2</v>
      </c>
      <c r="O28" s="89">
        <f t="shared" si="5"/>
        <v>41872.6</v>
      </c>
      <c r="P28" s="89">
        <f t="shared" si="6"/>
        <v>11963.6</v>
      </c>
      <c r="Q28" s="89">
        <f t="shared" si="7"/>
        <v>125617.8</v>
      </c>
      <c r="R28" s="89">
        <f t="shared" si="3"/>
        <v>11305.601999999999</v>
      </c>
      <c r="S28" s="89">
        <f t="shared" si="4"/>
        <v>3014.8272</v>
      </c>
      <c r="T28" s="89">
        <f t="shared" si="8"/>
        <v>26284.029199999997</v>
      </c>
      <c r="U28" s="89">
        <f t="shared" si="9"/>
        <v>43.80671533333333</v>
      </c>
      <c r="V28" s="88"/>
      <c r="W28" s="88"/>
      <c r="X28" s="135"/>
    </row>
    <row r="29" spans="1:24" s="93" customFormat="1" ht="12.75">
      <c r="A29" s="91" t="str">
        <f t="shared" si="10"/>
        <v>Tractor (350-449 hp)-Track 400</v>
      </c>
      <c r="B29" s="86" t="s">
        <v>269</v>
      </c>
      <c r="C29" s="86" t="s">
        <v>77</v>
      </c>
      <c r="D29" s="162">
        <v>20.589</v>
      </c>
      <c r="E29" s="162">
        <v>228017</v>
      </c>
      <c r="F29" s="162">
        <v>20</v>
      </c>
      <c r="G29" s="162">
        <v>60</v>
      </c>
      <c r="H29" s="162">
        <v>14</v>
      </c>
      <c r="I29" s="162">
        <v>600</v>
      </c>
      <c r="J29" s="158">
        <f t="shared" si="1"/>
        <v>8400</v>
      </c>
      <c r="K29" s="159">
        <f t="shared" si="2"/>
        <v>16.28692857142857</v>
      </c>
      <c r="L29" s="158">
        <v>1</v>
      </c>
      <c r="M29" s="158">
        <v>0.003</v>
      </c>
      <c r="N29" s="158">
        <v>2</v>
      </c>
      <c r="O29" s="89">
        <f t="shared" si="5"/>
        <v>45603.4</v>
      </c>
      <c r="P29" s="89">
        <f t="shared" si="6"/>
        <v>13029.542857142858</v>
      </c>
      <c r="Q29" s="89">
        <f t="shared" si="7"/>
        <v>136810.2</v>
      </c>
      <c r="R29" s="89">
        <f t="shared" si="3"/>
        <v>12312.918000000001</v>
      </c>
      <c r="S29" s="89">
        <f t="shared" si="4"/>
        <v>3283.4448</v>
      </c>
      <c r="T29" s="89">
        <f t="shared" si="8"/>
        <v>28625.90565714286</v>
      </c>
      <c r="U29" s="89">
        <f t="shared" si="9"/>
        <v>47.70984276190477</v>
      </c>
      <c r="V29" s="88"/>
      <c r="W29" s="88"/>
      <c r="X29" s="1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 Lacy</dc:creator>
  <cp:keywords/>
  <dc:description/>
  <cp:lastModifiedBy>Owner</cp:lastModifiedBy>
  <cp:lastPrinted>2007-05-01T15:15:14Z</cp:lastPrinted>
  <dcterms:created xsi:type="dcterms:W3CDTF">2004-10-18T19:17:34Z</dcterms:created>
  <dcterms:modified xsi:type="dcterms:W3CDTF">2008-05-28T18:11:07Z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