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5" windowWidth="16770" windowHeight="9495" tabRatio="790"/>
  </bookViews>
  <sheets>
    <sheet name="Conventional" sheetId="1" r:id="rId1"/>
    <sheet name="Strip-Till" sheetId="2" r:id="rId2"/>
    <sheet name="Prices" sheetId="10" state="hidden" r:id="rId3"/>
    <sheet name="Peanut Price Calculator" sheetId="17" r:id="rId4"/>
    <sheet name="Price Comparison" sheetId="14" r:id="rId5"/>
    <sheet name="CTillCharts" sheetId="11" r:id="rId6"/>
    <sheet name="STillCharts" sheetId="16" r:id="rId7"/>
    <sheet name="Irrigated" sheetId="7" state="hidden" r:id="rId8"/>
    <sheet name="Dryland" sheetId="3" state="hidden" r:id="rId9"/>
    <sheet name="Irrigated ST" sheetId="9" state="hidden" r:id="rId10"/>
    <sheet name="Dryland ST" sheetId="8" state="hidden" r:id="rId11"/>
  </sheets>
  <definedNames>
    <definedName name="_xlnm.Print_Area" localSheetId="0">Conventional!$A$1:$AA$47</definedName>
    <definedName name="_xlnm.Print_Area" localSheetId="5">CTillCharts!$A$1:$M$408</definedName>
    <definedName name="_xlnm.Print_Area" localSheetId="8">Dryland!$A$6:$M$38</definedName>
    <definedName name="_xlnm.Print_Area" localSheetId="10">'Dryland ST'!$A$6:$M$38</definedName>
    <definedName name="_xlnm.Print_Area" localSheetId="7">Irrigated!$A$4:$M$38</definedName>
    <definedName name="_xlnm.Print_Area" localSheetId="9">'Irrigated ST'!$A$3:$M$38</definedName>
    <definedName name="_xlnm.Print_Area" localSheetId="3">'Peanut Price Calculator'!$A$9:$I$28</definedName>
    <definedName name="_xlnm.Print_Area" localSheetId="4">'Price Comparison'!$A$1:$I$18</definedName>
    <definedName name="_xlnm.Print_Area" localSheetId="6">STillCharts!$A$1:$M$408</definedName>
    <definedName name="_xlnm.Print_Area" localSheetId="1">'Strip-Till'!$A$1:$U$49</definedName>
    <definedName name="TVC" localSheetId="6">Dryland!#REF!</definedName>
    <definedName name="TVC">Dryland!#REF!</definedName>
    <definedName name="yield" localSheetId="6">Dryland!#REF!</definedName>
    <definedName name="yield">Dryland!#REF!</definedName>
  </definedNames>
  <calcPr calcId="145621"/>
</workbook>
</file>

<file path=xl/calcChain.xml><?xml version="1.0" encoding="utf-8"?>
<calcChain xmlns="http://schemas.openxmlformats.org/spreadsheetml/2006/main">
  <c r="P16" i="2" l="1"/>
  <c r="F16" i="2"/>
  <c r="R15" i="1"/>
  <c r="F15" i="1"/>
  <c r="N16" i="2" l="1"/>
  <c r="D16" i="2"/>
  <c r="P15" i="1"/>
  <c r="D15" i="1"/>
  <c r="L21" i="1"/>
  <c r="T16" i="2" l="1"/>
  <c r="R21" i="2" l="1"/>
  <c r="R16" i="2"/>
  <c r="T35" i="2" l="1"/>
  <c r="J35" i="2"/>
  <c r="T21" i="2"/>
  <c r="J21" i="2"/>
  <c r="J16" i="2"/>
  <c r="J13" i="1"/>
  <c r="R35" i="2" l="1"/>
  <c r="H35" i="2"/>
  <c r="H21" i="2"/>
  <c r="H16" i="2"/>
  <c r="N35" i="2" l="1"/>
  <c r="D35" i="2"/>
  <c r="L21" i="2"/>
  <c r="N21" i="2"/>
  <c r="D21" i="2"/>
  <c r="N14" i="2"/>
  <c r="D14" i="2"/>
  <c r="P35" i="2" l="1"/>
  <c r="F35" i="2"/>
  <c r="P21" i="2"/>
  <c r="F21" i="2"/>
  <c r="B8" i="2" l="1"/>
  <c r="L35" i="2"/>
  <c r="V13" i="1"/>
  <c r="T13" i="1"/>
  <c r="R13" i="1"/>
  <c r="N13" i="1"/>
  <c r="B13" i="1"/>
  <c r="H13" i="1"/>
  <c r="B35" i="2"/>
  <c r="V20" i="1"/>
  <c r="T20" i="1" l="1"/>
  <c r="T15" i="1"/>
  <c r="D34" i="1" l="1"/>
  <c r="P34" i="1"/>
  <c r="P20" i="1"/>
  <c r="P13" i="1"/>
  <c r="X20" i="1" l="1"/>
  <c r="X15" i="1"/>
  <c r="X13" i="1"/>
  <c r="X34" i="1"/>
  <c r="L34" i="1" l="1"/>
  <c r="L20" i="1"/>
  <c r="L15" i="1"/>
  <c r="L13" i="1"/>
  <c r="V34" i="1" l="1"/>
  <c r="T34" i="1"/>
  <c r="N34" i="1"/>
  <c r="B34" i="1"/>
  <c r="R34" i="1"/>
  <c r="R20" i="1"/>
  <c r="H34" i="1" l="1"/>
  <c r="H20" i="1"/>
  <c r="H15" i="1"/>
  <c r="J34" i="1"/>
  <c r="J21" i="1"/>
  <c r="J20" i="1"/>
  <c r="F34" i="1"/>
  <c r="F20" i="1"/>
  <c r="F13" i="1"/>
  <c r="D20" i="1"/>
  <c r="D13" i="1"/>
  <c r="B21" i="2" l="1"/>
  <c r="N20" i="1"/>
  <c r="B20" i="1"/>
  <c r="D7" i="1" l="1"/>
  <c r="N18" i="2" l="1"/>
  <c r="L18" i="2"/>
  <c r="D18" i="2"/>
  <c r="B18" i="2"/>
  <c r="L16" i="2"/>
  <c r="B16" i="2"/>
  <c r="N15" i="1"/>
  <c r="B15" i="1"/>
  <c r="D19" i="2" l="1"/>
  <c r="B19" i="2"/>
  <c r="L19" i="2"/>
  <c r="N19" i="2"/>
  <c r="D19" i="1" l="1"/>
  <c r="P19" i="1"/>
  <c r="H11" i="2"/>
  <c r="H19" i="1"/>
  <c r="T19" i="1"/>
  <c r="R19" i="1"/>
  <c r="H21" i="1" l="1"/>
  <c r="F21" i="1"/>
  <c r="D21" i="1"/>
  <c r="B21" i="1"/>
  <c r="N19" i="1" l="1"/>
  <c r="L28" i="2"/>
  <c r="B28" i="2"/>
  <c r="N27" i="1"/>
  <c r="B27" i="1"/>
  <c r="B22" i="1"/>
  <c r="B19" i="1"/>
  <c r="B49" i="2"/>
  <c r="P20" i="2" s="1"/>
  <c r="H47" i="2"/>
  <c r="F47" i="2"/>
  <c r="B36" i="2"/>
  <c r="L13" i="2"/>
  <c r="B13" i="2"/>
  <c r="N12" i="1"/>
  <c r="B12" i="1"/>
  <c r="B24" i="2"/>
  <c r="D47" i="2"/>
  <c r="P7" i="1"/>
  <c r="D28" i="1"/>
  <c r="F24" i="2"/>
  <c r="H24" i="2"/>
  <c r="B12" i="2"/>
  <c r="A1" i="2"/>
  <c r="D36" i="2"/>
  <c r="F36" i="2"/>
  <c r="H36" i="2"/>
  <c r="J36" i="2"/>
  <c r="L22" i="1"/>
  <c r="L11" i="1"/>
  <c r="X22" i="1"/>
  <c r="J22" i="1"/>
  <c r="B4" i="9"/>
  <c r="B4" i="17"/>
  <c r="B6" i="17"/>
  <c r="N7" i="2"/>
  <c r="N29" i="2" s="1"/>
  <c r="D7" i="2"/>
  <c r="D30" i="2" s="1"/>
  <c r="A27" i="17"/>
  <c r="B28" i="17" s="1"/>
  <c r="P8" i="1" s="1"/>
  <c r="A16" i="17"/>
  <c r="B17" i="17"/>
  <c r="D8" i="1" s="1"/>
  <c r="P26" i="1"/>
  <c r="J19" i="1"/>
  <c r="J26" i="1" s="1"/>
  <c r="V19" i="1"/>
  <c r="V26" i="1" s="1"/>
  <c r="F19" i="1"/>
  <c r="F26" i="1" s="1"/>
  <c r="N24" i="2"/>
  <c r="P24" i="2"/>
  <c r="R24" i="2"/>
  <c r="T24" i="2"/>
  <c r="L24" i="2"/>
  <c r="D24" i="2"/>
  <c r="J24" i="2"/>
  <c r="X19" i="1"/>
  <c r="X26" i="1" s="1"/>
  <c r="X28" i="1"/>
  <c r="L28" i="1"/>
  <c r="L19" i="1"/>
  <c r="A48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F8" i="2"/>
  <c r="H8" i="2"/>
  <c r="E4" i="9" s="1"/>
  <c r="B406" i="11"/>
  <c r="B405" i="11"/>
  <c r="B371" i="11"/>
  <c r="B337" i="11"/>
  <c r="B336" i="11"/>
  <c r="B304" i="11"/>
  <c r="B303" i="11"/>
  <c r="B269" i="11"/>
  <c r="B236" i="11"/>
  <c r="B235" i="11"/>
  <c r="B201" i="11"/>
  <c r="B167" i="11"/>
  <c r="B133" i="11"/>
  <c r="B100" i="11"/>
  <c r="B99" i="11"/>
  <c r="B66" i="11"/>
  <c r="B65" i="11"/>
  <c r="B31" i="11"/>
  <c r="D67" i="10"/>
  <c r="E67" i="10"/>
  <c r="B67" i="10"/>
  <c r="E46" i="10"/>
  <c r="D46" i="10"/>
  <c r="B46" i="10"/>
  <c r="T77" i="10"/>
  <c r="T76" i="10" s="1"/>
  <c r="T75" i="10" s="1"/>
  <c r="T74" i="10" s="1"/>
  <c r="N77" i="10"/>
  <c r="N76" i="10" s="1"/>
  <c r="B77" i="10"/>
  <c r="B78" i="10" s="1"/>
  <c r="B79" i="10" s="1"/>
  <c r="T56" i="10"/>
  <c r="T57" i="10" s="1"/>
  <c r="T58" i="10" s="1"/>
  <c r="T59" i="10" s="1"/>
  <c r="N56" i="10"/>
  <c r="N57" i="10" s="1"/>
  <c r="B56" i="10"/>
  <c r="B57" i="10" s="1"/>
  <c r="B58" i="10" s="1"/>
  <c r="B35" i="10"/>
  <c r="B34" i="10" s="1"/>
  <c r="N14" i="10"/>
  <c r="N13" i="10" s="1"/>
  <c r="T14" i="10"/>
  <c r="T15" i="10" s="1"/>
  <c r="T35" i="10"/>
  <c r="T36" i="10" s="1"/>
  <c r="T37" i="10" s="1"/>
  <c r="N35" i="10"/>
  <c r="N36" i="10" s="1"/>
  <c r="N37" i="10" s="1"/>
  <c r="N38" i="10" s="1"/>
  <c r="N39" i="10" s="1"/>
  <c r="E25" i="10"/>
  <c r="D25" i="10"/>
  <c r="B25" i="10"/>
  <c r="B14" i="10"/>
  <c r="B13" i="10" s="1"/>
  <c r="E4" i="10"/>
  <c r="D4" i="10"/>
  <c r="C4" i="10"/>
  <c r="B4" i="10"/>
  <c r="D29" i="1"/>
  <c r="N8" i="1"/>
  <c r="B4" i="3" s="1"/>
  <c r="T29" i="2"/>
  <c r="P29" i="2"/>
  <c r="F29" i="2"/>
  <c r="J29" i="2"/>
  <c r="E4" i="7"/>
  <c r="A36" i="7" s="1"/>
  <c r="A36" i="8" s="1"/>
  <c r="R8" i="2"/>
  <c r="E4" i="8" s="1"/>
  <c r="D3" i="9"/>
  <c r="D13" i="9" s="1"/>
  <c r="E3" i="9"/>
  <c r="D33" i="9" s="1"/>
  <c r="B33" i="9" s="1"/>
  <c r="F3" i="9"/>
  <c r="D23" i="9" s="1"/>
  <c r="B3" i="9"/>
  <c r="K13" i="9" s="1"/>
  <c r="P8" i="2"/>
  <c r="D4" i="8" s="1"/>
  <c r="D5" i="8" s="1"/>
  <c r="L8" i="2"/>
  <c r="D3" i="8"/>
  <c r="E3" i="8"/>
  <c r="D33" i="8" s="1"/>
  <c r="F3" i="8"/>
  <c r="D23" i="8" s="1"/>
  <c r="B23" i="8" s="1"/>
  <c r="B3" i="8"/>
  <c r="K13" i="8" s="1"/>
  <c r="B2" i="8"/>
  <c r="C2" i="8"/>
  <c r="D2" i="8"/>
  <c r="E2" i="8"/>
  <c r="F2" i="8"/>
  <c r="D13" i="8"/>
  <c r="E13" i="8" s="1"/>
  <c r="B2" i="9"/>
  <c r="C2" i="9"/>
  <c r="D2" i="9"/>
  <c r="E2" i="9"/>
  <c r="F2" i="9"/>
  <c r="B2" i="7"/>
  <c r="C2" i="7"/>
  <c r="D2" i="7"/>
  <c r="E2" i="7"/>
  <c r="F2" i="7"/>
  <c r="G2" i="7"/>
  <c r="B3" i="7"/>
  <c r="K13" i="7" s="1"/>
  <c r="C3" i="7"/>
  <c r="K23" i="7" s="1"/>
  <c r="D3" i="7"/>
  <c r="D13" i="7" s="1"/>
  <c r="E3" i="7"/>
  <c r="F3" i="7"/>
  <c r="D23" i="7" s="1"/>
  <c r="G3" i="7"/>
  <c r="K33" i="7" s="1"/>
  <c r="I33" i="7" s="1"/>
  <c r="B4" i="7"/>
  <c r="H16" i="7" s="1"/>
  <c r="H16" i="9" s="1"/>
  <c r="D4" i="7"/>
  <c r="G4" i="7"/>
  <c r="H36" i="7" s="1"/>
  <c r="H38" i="7" s="1"/>
  <c r="H38" i="3" s="1"/>
  <c r="F28" i="1"/>
  <c r="J28" i="1"/>
  <c r="X8" i="1"/>
  <c r="G4" i="3" s="1"/>
  <c r="G3" i="3"/>
  <c r="K33" i="3" s="1"/>
  <c r="M33" i="3" s="1"/>
  <c r="F3" i="3"/>
  <c r="D23" i="3" s="1"/>
  <c r="V28" i="1"/>
  <c r="T8" i="1"/>
  <c r="T9" i="1" s="1"/>
  <c r="E3" i="3"/>
  <c r="D33" i="3" s="1"/>
  <c r="R8" i="1"/>
  <c r="R9" i="1" s="1"/>
  <c r="D3" i="3"/>
  <c r="D13" i="3" s="1"/>
  <c r="R28" i="1"/>
  <c r="B3" i="3"/>
  <c r="K13" i="3" s="1"/>
  <c r="B2" i="3"/>
  <c r="C2" i="3"/>
  <c r="D2" i="3"/>
  <c r="E2" i="3"/>
  <c r="F2" i="3"/>
  <c r="G2" i="3"/>
  <c r="L9" i="1"/>
  <c r="H9" i="1"/>
  <c r="B9" i="1"/>
  <c r="F9" i="1"/>
  <c r="R26" i="1"/>
  <c r="T26" i="1"/>
  <c r="D26" i="1"/>
  <c r="H26" i="1"/>
  <c r="H30" i="1" s="1"/>
  <c r="H37" i="1" s="1"/>
  <c r="H38" i="1" s="1"/>
  <c r="H40" i="1" s="1"/>
  <c r="H44" i="1" s="1"/>
  <c r="J20" i="2" l="1"/>
  <c r="T20" i="2"/>
  <c r="J22" i="2"/>
  <c r="R14" i="2"/>
  <c r="H14" i="2"/>
  <c r="J14" i="2"/>
  <c r="T14" i="2"/>
  <c r="B14" i="2"/>
  <c r="P14" i="2"/>
  <c r="P27" i="2" s="1"/>
  <c r="P31" i="2" s="1"/>
  <c r="D66" i="10" s="1"/>
  <c r="F14" i="2"/>
  <c r="L14" i="2"/>
  <c r="B201" i="16"/>
  <c r="B371" i="16"/>
  <c r="E5" i="9"/>
  <c r="B270" i="16"/>
  <c r="B134" i="16"/>
  <c r="C3" i="8"/>
  <c r="K23" i="8" s="1"/>
  <c r="I23" i="8" s="1"/>
  <c r="N30" i="2"/>
  <c r="V30" i="1"/>
  <c r="V37" i="1" s="1"/>
  <c r="V38" i="1" s="1"/>
  <c r="V40" i="1" s="1"/>
  <c r="V43" i="1" s="1"/>
  <c r="F23" i="7"/>
  <c r="E23" i="7"/>
  <c r="J30" i="1"/>
  <c r="J32" i="1" s="1"/>
  <c r="B23" i="7"/>
  <c r="X30" i="1"/>
  <c r="G6" i="3" s="1"/>
  <c r="R30" i="1"/>
  <c r="R31" i="1" s="1"/>
  <c r="T55" i="10"/>
  <c r="T54" i="10" s="1"/>
  <c r="L26" i="1"/>
  <c r="L30" i="1" s="1"/>
  <c r="L31" i="1" s="1"/>
  <c r="N78" i="10"/>
  <c r="N79" i="10" s="1"/>
  <c r="N80" i="10" s="1"/>
  <c r="H9" i="2"/>
  <c r="T13" i="10"/>
  <c r="T12" i="10" s="1"/>
  <c r="X9" i="1"/>
  <c r="G5" i="7"/>
  <c r="T78" i="10"/>
  <c r="T79" i="10" s="1"/>
  <c r="T80" i="10" s="1"/>
  <c r="T81" i="10" s="1"/>
  <c r="T82" i="10" s="1"/>
  <c r="T83" i="10" s="1"/>
  <c r="J33" i="7"/>
  <c r="L33" i="7"/>
  <c r="C23" i="7"/>
  <c r="N26" i="1"/>
  <c r="N30" i="1" s="1"/>
  <c r="B24" i="10" s="1"/>
  <c r="B20" i="2"/>
  <c r="L20" i="2"/>
  <c r="F20" i="2"/>
  <c r="E5" i="7"/>
  <c r="T34" i="10"/>
  <c r="T33" i="10" s="1"/>
  <c r="T32" i="10" s="1"/>
  <c r="H36" i="3"/>
  <c r="I13" i="7"/>
  <c r="M13" i="7"/>
  <c r="E13" i="7"/>
  <c r="F13" i="7"/>
  <c r="D5" i="7"/>
  <c r="F30" i="1"/>
  <c r="F32" i="1" s="1"/>
  <c r="H35" i="7"/>
  <c r="H35" i="3" s="1"/>
  <c r="H37" i="7"/>
  <c r="H37" i="3" s="1"/>
  <c r="H34" i="7"/>
  <c r="H34" i="3" s="1"/>
  <c r="D4" i="3"/>
  <c r="D5" i="3" s="1"/>
  <c r="C67" i="10"/>
  <c r="B202" i="16"/>
  <c r="B372" i="16"/>
  <c r="B168" i="16"/>
  <c r="B32" i="16"/>
  <c r="B55" i="10"/>
  <c r="B54" i="10" s="1"/>
  <c r="B53" i="10" s="1"/>
  <c r="N34" i="10"/>
  <c r="N33" i="10" s="1"/>
  <c r="N32" i="10" s="1"/>
  <c r="N31" i="10" s="1"/>
  <c r="A36" i="9"/>
  <c r="E5" i="8"/>
  <c r="F33" i="9"/>
  <c r="F23" i="9"/>
  <c r="C23" i="9"/>
  <c r="B23" i="9"/>
  <c r="E23" i="9"/>
  <c r="F33" i="8"/>
  <c r="C33" i="8"/>
  <c r="E33" i="8"/>
  <c r="B33" i="8"/>
  <c r="J13" i="8"/>
  <c r="I13" i="8"/>
  <c r="I13" i="9"/>
  <c r="M13" i="9"/>
  <c r="E23" i="8"/>
  <c r="E33" i="9"/>
  <c r="C13" i="9"/>
  <c r="B13" i="9"/>
  <c r="E13" i="9"/>
  <c r="F13" i="9"/>
  <c r="F13" i="8"/>
  <c r="F23" i="8"/>
  <c r="C33" i="9"/>
  <c r="C23" i="8"/>
  <c r="C13" i="8"/>
  <c r="B13" i="8"/>
  <c r="B5" i="9"/>
  <c r="L13" i="9"/>
  <c r="J13" i="9"/>
  <c r="B269" i="16"/>
  <c r="D29" i="2"/>
  <c r="L13" i="8"/>
  <c r="R9" i="2"/>
  <c r="M13" i="8"/>
  <c r="F13" i="3"/>
  <c r="C13" i="3"/>
  <c r="E13" i="3"/>
  <c r="B13" i="3"/>
  <c r="C33" i="3"/>
  <c r="B33" i="3"/>
  <c r="F33" i="3"/>
  <c r="E33" i="3"/>
  <c r="L13" i="3"/>
  <c r="J13" i="3"/>
  <c r="I13" i="3"/>
  <c r="M13" i="3"/>
  <c r="F23" i="3"/>
  <c r="B23" i="3"/>
  <c r="C23" i="3"/>
  <c r="E23" i="3"/>
  <c r="C13" i="7"/>
  <c r="B13" i="7"/>
  <c r="J33" i="3"/>
  <c r="A35" i="7"/>
  <c r="A38" i="7"/>
  <c r="A38" i="9" s="1"/>
  <c r="J13" i="7"/>
  <c r="M33" i="7"/>
  <c r="B202" i="11"/>
  <c r="P28" i="1"/>
  <c r="I33" i="3"/>
  <c r="N20" i="2"/>
  <c r="N27" i="2" s="1"/>
  <c r="N31" i="2" s="1"/>
  <c r="H20" i="2"/>
  <c r="D20" i="2"/>
  <c r="R20" i="2"/>
  <c r="D22" i="2"/>
  <c r="B22" i="2"/>
  <c r="H22" i="2"/>
  <c r="F22" i="2"/>
  <c r="A37" i="7"/>
  <c r="A37" i="3" s="1"/>
  <c r="P9" i="2"/>
  <c r="L33" i="3"/>
  <c r="L13" i="7"/>
  <c r="G5" i="3"/>
  <c r="B5" i="3"/>
  <c r="N55" i="10"/>
  <c r="N54" i="10" s="1"/>
  <c r="N53" i="10" s="1"/>
  <c r="N52" i="10" s="1"/>
  <c r="N51" i="10" s="1"/>
  <c r="D33" i="7"/>
  <c r="N9" i="1"/>
  <c r="H32" i="1"/>
  <c r="E3" i="10"/>
  <c r="T30" i="1"/>
  <c r="E24" i="10" s="1"/>
  <c r="N8" i="2"/>
  <c r="N9" i="2" s="1"/>
  <c r="C4" i="3"/>
  <c r="P9" i="1"/>
  <c r="D30" i="1"/>
  <c r="B372" i="11"/>
  <c r="B270" i="11"/>
  <c r="C3" i="3"/>
  <c r="B134" i="11"/>
  <c r="B32" i="11"/>
  <c r="B168" i="11"/>
  <c r="P29" i="1"/>
  <c r="C25" i="10"/>
  <c r="J23" i="7"/>
  <c r="I23" i="7"/>
  <c r="L23" i="7"/>
  <c r="M23" i="7"/>
  <c r="H77" i="10"/>
  <c r="H35" i="10"/>
  <c r="C4" i="7"/>
  <c r="H56" i="10"/>
  <c r="H14" i="10"/>
  <c r="D9" i="1"/>
  <c r="C3" i="9"/>
  <c r="B167" i="16"/>
  <c r="D8" i="2"/>
  <c r="B31" i="16"/>
  <c r="C46" i="10"/>
  <c r="B133" i="16"/>
  <c r="E6" i="7"/>
  <c r="B26" i="1"/>
  <c r="B30" i="1" s="1"/>
  <c r="B32" i="1" s="1"/>
  <c r="H41" i="1"/>
  <c r="H43" i="1"/>
  <c r="H31" i="1"/>
  <c r="H15" i="7"/>
  <c r="H15" i="3" s="1"/>
  <c r="B33" i="10"/>
  <c r="B32" i="10" s="1"/>
  <c r="B9" i="2"/>
  <c r="B76" i="10"/>
  <c r="B75" i="10" s="1"/>
  <c r="H16" i="8"/>
  <c r="H18" i="7"/>
  <c r="H17" i="7"/>
  <c r="H16" i="3"/>
  <c r="H14" i="7"/>
  <c r="B4" i="8"/>
  <c r="B5" i="8" s="1"/>
  <c r="L9" i="2"/>
  <c r="B15" i="10"/>
  <c r="B36" i="10"/>
  <c r="B80" i="10"/>
  <c r="B12" i="10"/>
  <c r="B59" i="10"/>
  <c r="B5" i="7"/>
  <c r="T16" i="10"/>
  <c r="T60" i="10"/>
  <c r="T38" i="10"/>
  <c r="A36" i="3"/>
  <c r="A34" i="7"/>
  <c r="E4" i="3"/>
  <c r="E5" i="3" s="1"/>
  <c r="T73" i="10"/>
  <c r="N12" i="10"/>
  <c r="V8" i="1"/>
  <c r="F4" i="7"/>
  <c r="J8" i="2"/>
  <c r="J9" i="1"/>
  <c r="T8" i="2"/>
  <c r="N40" i="10"/>
  <c r="F9" i="2"/>
  <c r="N75" i="10"/>
  <c r="D4" i="9"/>
  <c r="D5" i="9" s="1"/>
  <c r="N15" i="10"/>
  <c r="N58" i="10"/>
  <c r="A16" i="7"/>
  <c r="T27" i="2" l="1"/>
  <c r="T31" i="2" s="1"/>
  <c r="T38" i="2" s="1"/>
  <c r="T39" i="2" s="1"/>
  <c r="T41" i="2" s="1"/>
  <c r="T44" i="2" s="1"/>
  <c r="J37" i="1"/>
  <c r="J38" i="1" s="1"/>
  <c r="J40" i="1" s="1"/>
  <c r="J43" i="1" s="1"/>
  <c r="F6" i="7"/>
  <c r="V32" i="1"/>
  <c r="F6" i="3"/>
  <c r="J23" i="8"/>
  <c r="L23" i="8"/>
  <c r="M23" i="8"/>
  <c r="X31" i="1"/>
  <c r="X32" i="1"/>
  <c r="X37" i="1"/>
  <c r="X38" i="1" s="1"/>
  <c r="X40" i="1" s="1"/>
  <c r="X43" i="1" s="1"/>
  <c r="D6" i="3"/>
  <c r="R32" i="1"/>
  <c r="R37" i="1"/>
  <c r="R38" i="1" s="1"/>
  <c r="R40" i="1" s="1"/>
  <c r="R44" i="1" s="1"/>
  <c r="D24" i="10"/>
  <c r="L38" i="10" s="1"/>
  <c r="K34" i="3"/>
  <c r="L27" i="2"/>
  <c r="L31" i="2" s="1"/>
  <c r="B6" i="8" s="1"/>
  <c r="L16" i="8" s="1"/>
  <c r="N31" i="1"/>
  <c r="P30" i="1"/>
  <c r="P32" i="1" s="1"/>
  <c r="A37" i="9"/>
  <c r="N37" i="1"/>
  <c r="N38" i="1" s="1"/>
  <c r="N40" i="1" s="1"/>
  <c r="N44" i="1" s="1"/>
  <c r="N32" i="1"/>
  <c r="B6" i="3"/>
  <c r="K16" i="3" s="1"/>
  <c r="B27" i="2"/>
  <c r="B31" i="2" s="1"/>
  <c r="B38" i="2" s="1"/>
  <c r="B39" i="2" s="1"/>
  <c r="B41" i="2" s="1"/>
  <c r="B42" i="2" s="1"/>
  <c r="H15" i="9"/>
  <c r="R27" i="2"/>
  <c r="R31" i="2" s="1"/>
  <c r="E6" i="8" s="1"/>
  <c r="F37" i="1"/>
  <c r="F38" i="1" s="1"/>
  <c r="F40" i="1" s="1"/>
  <c r="F43" i="1" s="1"/>
  <c r="D3" i="10"/>
  <c r="S13" i="10" s="1"/>
  <c r="D6" i="7"/>
  <c r="F16" i="7" s="1"/>
  <c r="F31" i="1"/>
  <c r="H15" i="8"/>
  <c r="F27" i="2"/>
  <c r="F31" i="2" s="1"/>
  <c r="D45" i="10" s="1"/>
  <c r="D27" i="2"/>
  <c r="D31" i="2" s="1"/>
  <c r="C6" i="9" s="1"/>
  <c r="H27" i="2"/>
  <c r="H31" i="2" s="1"/>
  <c r="H33" i="2" s="1"/>
  <c r="J27" i="2"/>
  <c r="J31" i="2" s="1"/>
  <c r="F6" i="9" s="1"/>
  <c r="A38" i="8"/>
  <c r="J37" i="3"/>
  <c r="A38" i="3"/>
  <c r="A37" i="8"/>
  <c r="C33" i="7"/>
  <c r="C34" i="7" s="1"/>
  <c r="F33" i="7"/>
  <c r="F34" i="7" s="1"/>
  <c r="B33" i="7"/>
  <c r="B36" i="7" s="1"/>
  <c r="E33" i="7"/>
  <c r="E35" i="7" s="1"/>
  <c r="A35" i="9"/>
  <c r="A35" i="3"/>
  <c r="A35" i="8"/>
  <c r="C4" i="8"/>
  <c r="C5" i="8" s="1"/>
  <c r="J35" i="3"/>
  <c r="I37" i="3"/>
  <c r="K35" i="3"/>
  <c r="I38" i="3"/>
  <c r="I35" i="3"/>
  <c r="M34" i="3"/>
  <c r="L35" i="3"/>
  <c r="I34" i="3"/>
  <c r="L38" i="3"/>
  <c r="L34" i="3"/>
  <c r="K37" i="3"/>
  <c r="J34" i="3"/>
  <c r="K38" i="3"/>
  <c r="M35" i="3"/>
  <c r="Q37" i="10"/>
  <c r="D37" i="7"/>
  <c r="T31" i="1"/>
  <c r="T32" i="1"/>
  <c r="T37" i="1"/>
  <c r="T38" i="1" s="1"/>
  <c r="T40" i="1" s="1"/>
  <c r="E6" i="3"/>
  <c r="E37" i="3" s="1"/>
  <c r="D35" i="7"/>
  <c r="D38" i="7"/>
  <c r="D31" i="1"/>
  <c r="B31" i="1"/>
  <c r="D37" i="1"/>
  <c r="D38" i="1" s="1"/>
  <c r="D40" i="1" s="1"/>
  <c r="D41" i="1" s="1"/>
  <c r="C3" i="10"/>
  <c r="J14" i="10" s="1"/>
  <c r="D32" i="1"/>
  <c r="C6" i="7"/>
  <c r="C5" i="3"/>
  <c r="K23" i="3"/>
  <c r="H36" i="10"/>
  <c r="H37" i="10" s="1"/>
  <c r="H38" i="10" s="1"/>
  <c r="H39" i="10" s="1"/>
  <c r="H40" i="10" s="1"/>
  <c r="H41" i="10" s="1"/>
  <c r="H42" i="10" s="1"/>
  <c r="H34" i="10"/>
  <c r="H33" i="10" s="1"/>
  <c r="H32" i="10" s="1"/>
  <c r="H31" i="10" s="1"/>
  <c r="H30" i="10" s="1"/>
  <c r="H29" i="10" s="1"/>
  <c r="H28" i="10" s="1"/>
  <c r="D9" i="2"/>
  <c r="C4" i="9"/>
  <c r="C5" i="9" s="1"/>
  <c r="H57" i="10"/>
  <c r="H58" i="10" s="1"/>
  <c r="H59" i="10" s="1"/>
  <c r="H60" i="10" s="1"/>
  <c r="H61" i="10" s="1"/>
  <c r="H62" i="10" s="1"/>
  <c r="H63" i="10" s="1"/>
  <c r="H55" i="10"/>
  <c r="H54" i="10" s="1"/>
  <c r="H53" i="10" s="1"/>
  <c r="H52" i="10" s="1"/>
  <c r="H51" i="10" s="1"/>
  <c r="H50" i="10" s="1"/>
  <c r="H49" i="10" s="1"/>
  <c r="C5" i="7"/>
  <c r="H26" i="7"/>
  <c r="K23" i="9"/>
  <c r="H78" i="10"/>
  <c r="H79" i="10" s="1"/>
  <c r="H80" i="10" s="1"/>
  <c r="H81" i="10" s="1"/>
  <c r="H82" i="10" s="1"/>
  <c r="H83" i="10" s="1"/>
  <c r="H84" i="10" s="1"/>
  <c r="H76" i="10"/>
  <c r="H75" i="10" s="1"/>
  <c r="H74" i="10" s="1"/>
  <c r="H73" i="10" s="1"/>
  <c r="H72" i="10" s="1"/>
  <c r="H71" i="10" s="1"/>
  <c r="H70" i="10" s="1"/>
  <c r="H15" i="10"/>
  <c r="H13" i="10"/>
  <c r="D6" i="8"/>
  <c r="P32" i="2"/>
  <c r="B3" i="10"/>
  <c r="E35" i="10"/>
  <c r="B37" i="1"/>
  <c r="B38" i="1" s="1"/>
  <c r="B40" i="1" s="1"/>
  <c r="B41" i="1" s="1"/>
  <c r="Q33" i="10"/>
  <c r="E34" i="10"/>
  <c r="P38" i="2"/>
  <c r="P39" i="2" s="1"/>
  <c r="P41" i="2" s="1"/>
  <c r="P44" i="2" s="1"/>
  <c r="B6" i="7"/>
  <c r="K17" i="7" s="1"/>
  <c r="N33" i="2"/>
  <c r="C6" i="8"/>
  <c r="C66" i="10"/>
  <c r="M76" i="10" s="1"/>
  <c r="N32" i="2"/>
  <c r="N38" i="2"/>
  <c r="N39" i="2" s="1"/>
  <c r="N41" i="2" s="1"/>
  <c r="D36" i="7"/>
  <c r="P33" i="2"/>
  <c r="L32" i="1"/>
  <c r="G6" i="7"/>
  <c r="L37" i="1"/>
  <c r="L38" i="1" s="1"/>
  <c r="L40" i="1" s="1"/>
  <c r="Q36" i="10"/>
  <c r="Q35" i="10"/>
  <c r="J44" i="1"/>
  <c r="Q34" i="10"/>
  <c r="J38" i="3"/>
  <c r="I36" i="3"/>
  <c r="M37" i="3"/>
  <c r="K36" i="3"/>
  <c r="M36" i="3"/>
  <c r="M38" i="3"/>
  <c r="J36" i="3"/>
  <c r="L36" i="3"/>
  <c r="L37" i="3"/>
  <c r="E33" i="10"/>
  <c r="H14" i="8"/>
  <c r="H14" i="3"/>
  <c r="H14" i="9"/>
  <c r="B60" i="10"/>
  <c r="B81" i="10"/>
  <c r="B16" i="10"/>
  <c r="B74" i="10"/>
  <c r="B11" i="10"/>
  <c r="B52" i="10"/>
  <c r="H17" i="8"/>
  <c r="H17" i="9"/>
  <c r="H17" i="3"/>
  <c r="H18" i="9"/>
  <c r="H18" i="3"/>
  <c r="H18" i="8"/>
  <c r="E36" i="10"/>
  <c r="B37" i="10"/>
  <c r="E32" i="10"/>
  <c r="B31" i="10"/>
  <c r="T31" i="10"/>
  <c r="Q32" i="10"/>
  <c r="T17" i="10"/>
  <c r="T53" i="10"/>
  <c r="T72" i="10"/>
  <c r="T11" i="10"/>
  <c r="Q38" i="10"/>
  <c r="T39" i="10"/>
  <c r="T61" i="10"/>
  <c r="A34" i="9"/>
  <c r="A34" i="3"/>
  <c r="A34" i="8"/>
  <c r="D34" i="7"/>
  <c r="T84" i="10"/>
  <c r="A17" i="7"/>
  <c r="A15" i="7"/>
  <c r="A14" i="7"/>
  <c r="A16" i="3"/>
  <c r="A16" i="9"/>
  <c r="A16" i="8"/>
  <c r="A18" i="7"/>
  <c r="N11" i="10"/>
  <c r="N16" i="10"/>
  <c r="N81" i="10"/>
  <c r="N74" i="10"/>
  <c r="N30" i="10"/>
  <c r="F4" i="8"/>
  <c r="F5" i="8" s="1"/>
  <c r="T9" i="2"/>
  <c r="F4" i="9"/>
  <c r="F5" i="9" s="1"/>
  <c r="J9" i="2"/>
  <c r="J31" i="1"/>
  <c r="N59" i="10"/>
  <c r="A26" i="7"/>
  <c r="F5" i="7"/>
  <c r="N41" i="10"/>
  <c r="F4" i="3"/>
  <c r="F5" i="3" s="1"/>
  <c r="V9" i="1"/>
  <c r="V44" i="1"/>
  <c r="N50" i="10"/>
  <c r="F6" i="8" l="1"/>
  <c r="T33" i="2"/>
  <c r="T45" i="2"/>
  <c r="J41" i="1"/>
  <c r="X44" i="1"/>
  <c r="R41" i="1"/>
  <c r="D34" i="10"/>
  <c r="S33" i="10"/>
  <c r="L32" i="10"/>
  <c r="L40" i="10"/>
  <c r="O40" i="10"/>
  <c r="X41" i="1"/>
  <c r="S36" i="10"/>
  <c r="S35" i="10"/>
  <c r="O37" i="10"/>
  <c r="L35" i="10"/>
  <c r="L39" i="10"/>
  <c r="S37" i="10"/>
  <c r="S32" i="10"/>
  <c r="O35" i="10"/>
  <c r="O36" i="10"/>
  <c r="O33" i="10"/>
  <c r="D35" i="10"/>
  <c r="L33" i="10"/>
  <c r="S38" i="10"/>
  <c r="O34" i="10"/>
  <c r="L37" i="10"/>
  <c r="L34" i="10"/>
  <c r="L31" i="10"/>
  <c r="D32" i="10"/>
  <c r="O39" i="10"/>
  <c r="O32" i="10"/>
  <c r="S34" i="10"/>
  <c r="O31" i="10"/>
  <c r="L36" i="10"/>
  <c r="D36" i="10"/>
  <c r="D33" i="10"/>
  <c r="O38" i="10"/>
  <c r="R43" i="1"/>
  <c r="L33" i="2"/>
  <c r="C6" i="3"/>
  <c r="N43" i="1"/>
  <c r="E37" i="7"/>
  <c r="E38" i="7"/>
  <c r="B66" i="10"/>
  <c r="L78" i="10" s="1"/>
  <c r="F35" i="7"/>
  <c r="L38" i="2"/>
  <c r="L39" i="2" s="1"/>
  <c r="L41" i="2" s="1"/>
  <c r="L42" i="2" s="1"/>
  <c r="L32" i="2"/>
  <c r="C24" i="10"/>
  <c r="R34" i="10" s="1"/>
  <c r="P37" i="1"/>
  <c r="P38" i="1" s="1"/>
  <c r="P40" i="1" s="1"/>
  <c r="P44" i="1" s="1"/>
  <c r="E36" i="7"/>
  <c r="P31" i="1"/>
  <c r="B37" i="7"/>
  <c r="B34" i="7"/>
  <c r="R32" i="2"/>
  <c r="E45" i="10"/>
  <c r="O51" i="10" s="1"/>
  <c r="B35" i="7"/>
  <c r="B38" i="7"/>
  <c r="C38" i="7"/>
  <c r="R33" i="2"/>
  <c r="H38" i="2"/>
  <c r="H39" i="2" s="1"/>
  <c r="H41" i="2" s="1"/>
  <c r="H42" i="2" s="1"/>
  <c r="H32" i="2"/>
  <c r="R38" i="2"/>
  <c r="R39" i="2" s="1"/>
  <c r="R41" i="2" s="1"/>
  <c r="R44" i="2" s="1"/>
  <c r="F44" i="1"/>
  <c r="J15" i="3"/>
  <c r="I15" i="3"/>
  <c r="L15" i="3"/>
  <c r="I16" i="3"/>
  <c r="N41" i="1"/>
  <c r="M16" i="3"/>
  <c r="F41" i="1"/>
  <c r="K15" i="3"/>
  <c r="L16" i="3"/>
  <c r="J16" i="3"/>
  <c r="B45" i="10"/>
  <c r="D53" i="10" s="1"/>
  <c r="B33" i="2"/>
  <c r="M15" i="3"/>
  <c r="B6" i="9"/>
  <c r="J15" i="9" s="1"/>
  <c r="B32" i="2"/>
  <c r="E66" i="10"/>
  <c r="S73" i="10" s="1"/>
  <c r="S12" i="10"/>
  <c r="S15" i="10"/>
  <c r="S14" i="10"/>
  <c r="D15" i="10"/>
  <c r="E6" i="9"/>
  <c r="B37" i="9" s="1"/>
  <c r="O15" i="10"/>
  <c r="O13" i="10"/>
  <c r="O12" i="10"/>
  <c r="S16" i="10"/>
  <c r="E16" i="7"/>
  <c r="O14" i="10"/>
  <c r="Q16" i="10"/>
  <c r="B16" i="7"/>
  <c r="D16" i="7"/>
  <c r="C16" i="7"/>
  <c r="C45" i="10"/>
  <c r="J38" i="2"/>
  <c r="J39" i="2" s="1"/>
  <c r="J41" i="2" s="1"/>
  <c r="J44" i="2" s="1"/>
  <c r="J33" i="2"/>
  <c r="D33" i="2"/>
  <c r="L13" i="10"/>
  <c r="Q12" i="10"/>
  <c r="L14" i="10"/>
  <c r="C35" i="7"/>
  <c r="F32" i="2"/>
  <c r="F38" i="7"/>
  <c r="D32" i="2"/>
  <c r="E34" i="7"/>
  <c r="I14" i="7"/>
  <c r="F36" i="7"/>
  <c r="C36" i="7"/>
  <c r="D38" i="2"/>
  <c r="D39" i="2" s="1"/>
  <c r="D41" i="2" s="1"/>
  <c r="D44" i="2" s="1"/>
  <c r="B35" i="8"/>
  <c r="F37" i="7"/>
  <c r="C37" i="7"/>
  <c r="D6" i="9"/>
  <c r="D16" i="9" s="1"/>
  <c r="F33" i="2"/>
  <c r="F38" i="2"/>
  <c r="F39" i="2" s="1"/>
  <c r="F41" i="2" s="1"/>
  <c r="E15" i="10"/>
  <c r="I17" i="7"/>
  <c r="L12" i="10"/>
  <c r="J18" i="7"/>
  <c r="F36" i="3"/>
  <c r="F37" i="3"/>
  <c r="E36" i="3"/>
  <c r="E38" i="3"/>
  <c r="D36" i="3"/>
  <c r="C38" i="3"/>
  <c r="F35" i="3"/>
  <c r="E35" i="3"/>
  <c r="D37" i="3"/>
  <c r="D38" i="3"/>
  <c r="B37" i="3"/>
  <c r="D35" i="8"/>
  <c r="C35" i="3"/>
  <c r="B38" i="3"/>
  <c r="C37" i="3"/>
  <c r="B36" i="3"/>
  <c r="F38" i="3"/>
  <c r="C36" i="3"/>
  <c r="D35" i="3"/>
  <c r="B35" i="3"/>
  <c r="T43" i="1"/>
  <c r="T44" i="1"/>
  <c r="T41" i="1"/>
  <c r="M16" i="8"/>
  <c r="L15" i="8"/>
  <c r="D44" i="1"/>
  <c r="L15" i="10"/>
  <c r="E12" i="10"/>
  <c r="D12" i="10"/>
  <c r="G15" i="10"/>
  <c r="R12" i="10"/>
  <c r="R16" i="10"/>
  <c r="M12" i="10"/>
  <c r="M79" i="10"/>
  <c r="I70" i="10"/>
  <c r="I77" i="10"/>
  <c r="C12" i="10"/>
  <c r="C15" i="10"/>
  <c r="M15" i="10"/>
  <c r="G13" i="10"/>
  <c r="G14" i="10"/>
  <c r="M14" i="10"/>
  <c r="I15" i="10"/>
  <c r="M13" i="10"/>
  <c r="R13" i="10"/>
  <c r="D43" i="1"/>
  <c r="I14" i="10"/>
  <c r="R14" i="10"/>
  <c r="R15" i="10"/>
  <c r="I76" i="10"/>
  <c r="I83" i="10"/>
  <c r="M75" i="10"/>
  <c r="M77" i="10"/>
  <c r="I84" i="10"/>
  <c r="J23" i="3"/>
  <c r="I23" i="3"/>
  <c r="L23" i="3"/>
  <c r="M23" i="3"/>
  <c r="I74" i="10"/>
  <c r="M80" i="10"/>
  <c r="I75" i="10"/>
  <c r="I82" i="10"/>
  <c r="I81" i="10"/>
  <c r="I72" i="10"/>
  <c r="I23" i="9"/>
  <c r="M23" i="9"/>
  <c r="L23" i="9"/>
  <c r="J23" i="9"/>
  <c r="I73" i="10"/>
  <c r="I78" i="10"/>
  <c r="J13" i="10"/>
  <c r="H12" i="10"/>
  <c r="H25" i="7"/>
  <c r="H27" i="7"/>
  <c r="H26" i="9"/>
  <c r="H28" i="7"/>
  <c r="H26" i="8"/>
  <c r="L26" i="8" s="1"/>
  <c r="H24" i="7"/>
  <c r="H26" i="3"/>
  <c r="M26" i="7"/>
  <c r="K26" i="7"/>
  <c r="I26" i="7"/>
  <c r="L26" i="7"/>
  <c r="J26" i="7"/>
  <c r="I13" i="10"/>
  <c r="I80" i="10"/>
  <c r="I71" i="10"/>
  <c r="H16" i="10"/>
  <c r="J15" i="10"/>
  <c r="I79" i="10"/>
  <c r="K18" i="7"/>
  <c r="M17" i="7"/>
  <c r="L16" i="7"/>
  <c r="K16" i="8"/>
  <c r="M18" i="7"/>
  <c r="L17" i="7"/>
  <c r="K14" i="7"/>
  <c r="Q13" i="10"/>
  <c r="C13" i="10"/>
  <c r="C14" i="10"/>
  <c r="E13" i="10"/>
  <c r="Q15" i="10"/>
  <c r="D14" i="10"/>
  <c r="D13" i="10"/>
  <c r="E14" i="10"/>
  <c r="Q14" i="10"/>
  <c r="B43" i="1"/>
  <c r="L18" i="7"/>
  <c r="L44" i="1"/>
  <c r="L43" i="1"/>
  <c r="L41" i="1"/>
  <c r="E38" i="8"/>
  <c r="M15" i="8"/>
  <c r="P42" i="2"/>
  <c r="P45" i="2"/>
  <c r="I35" i="7"/>
  <c r="I34" i="7"/>
  <c r="L36" i="7"/>
  <c r="L34" i="7"/>
  <c r="J37" i="7"/>
  <c r="I38" i="7"/>
  <c r="J38" i="7"/>
  <c r="I36" i="7"/>
  <c r="K35" i="7"/>
  <c r="L37" i="7"/>
  <c r="M38" i="7"/>
  <c r="J35" i="7"/>
  <c r="K34" i="7"/>
  <c r="K38" i="7"/>
  <c r="M35" i="7"/>
  <c r="L35" i="7"/>
  <c r="L38" i="7"/>
  <c r="M34" i="7"/>
  <c r="K36" i="7"/>
  <c r="J34" i="7"/>
  <c r="M37" i="7"/>
  <c r="K37" i="7"/>
  <c r="M36" i="7"/>
  <c r="I37" i="7"/>
  <c r="J36" i="7"/>
  <c r="N44" i="2"/>
  <c r="N42" i="2"/>
  <c r="N45" i="2"/>
  <c r="M78" i="10"/>
  <c r="M16" i="7"/>
  <c r="M15" i="7"/>
  <c r="I16" i="7"/>
  <c r="I15" i="7"/>
  <c r="K15" i="7"/>
  <c r="K16" i="7"/>
  <c r="L15" i="7"/>
  <c r="L14" i="7"/>
  <c r="J15" i="7"/>
  <c r="B38" i="8"/>
  <c r="B37" i="8"/>
  <c r="J17" i="7"/>
  <c r="K15" i="8"/>
  <c r="J14" i="7"/>
  <c r="B44" i="1"/>
  <c r="J16" i="7"/>
  <c r="J16" i="8"/>
  <c r="I18" i="7"/>
  <c r="I15" i="8"/>
  <c r="M14" i="7"/>
  <c r="F36" i="8"/>
  <c r="C36" i="8"/>
  <c r="E36" i="8"/>
  <c r="D36" i="8"/>
  <c r="B36" i="8"/>
  <c r="C38" i="8"/>
  <c r="C37" i="8"/>
  <c r="F37" i="8"/>
  <c r="I16" i="8"/>
  <c r="J15" i="8"/>
  <c r="E37" i="8"/>
  <c r="F35" i="8"/>
  <c r="F38" i="8"/>
  <c r="D37" i="8"/>
  <c r="C35" i="8"/>
  <c r="B44" i="2"/>
  <c r="B45" i="2"/>
  <c r="E35" i="8"/>
  <c r="D38" i="8"/>
  <c r="M17" i="8"/>
  <c r="I17" i="8"/>
  <c r="L17" i="8"/>
  <c r="J17" i="8"/>
  <c r="K17" i="8"/>
  <c r="B61" i="10"/>
  <c r="B73" i="10"/>
  <c r="B82" i="10"/>
  <c r="K14" i="3"/>
  <c r="J14" i="3"/>
  <c r="M14" i="3"/>
  <c r="I14" i="3"/>
  <c r="L14" i="3"/>
  <c r="D37" i="10"/>
  <c r="B38" i="10"/>
  <c r="E37" i="10"/>
  <c r="M17" i="3"/>
  <c r="J17" i="3"/>
  <c r="K17" i="3"/>
  <c r="I17" i="3"/>
  <c r="L17" i="3"/>
  <c r="E16" i="10"/>
  <c r="C16" i="10"/>
  <c r="D16" i="10"/>
  <c r="B17" i="10"/>
  <c r="D11" i="10"/>
  <c r="B10" i="10"/>
  <c r="E11" i="10"/>
  <c r="C11" i="10"/>
  <c r="L18" i="3"/>
  <c r="M18" i="3"/>
  <c r="J18" i="3"/>
  <c r="K18" i="3"/>
  <c r="I18" i="3"/>
  <c r="I18" i="8"/>
  <c r="K18" i="8"/>
  <c r="J18" i="8"/>
  <c r="M18" i="8"/>
  <c r="L18" i="8"/>
  <c r="K14" i="8"/>
  <c r="M14" i="8"/>
  <c r="L14" i="8"/>
  <c r="J14" i="8"/>
  <c r="I14" i="8"/>
  <c r="D31" i="10"/>
  <c r="B30" i="10"/>
  <c r="E31" i="10"/>
  <c r="B51" i="10"/>
  <c r="D34" i="3"/>
  <c r="B34" i="3"/>
  <c r="C34" i="3"/>
  <c r="F34" i="3"/>
  <c r="E34" i="3"/>
  <c r="T18" i="10"/>
  <c r="S17" i="10"/>
  <c r="R17" i="10"/>
  <c r="Q17" i="10"/>
  <c r="Q39" i="10"/>
  <c r="S39" i="10"/>
  <c r="T40" i="10"/>
  <c r="T71" i="10"/>
  <c r="F34" i="8"/>
  <c r="C34" i="8"/>
  <c r="E34" i="8"/>
  <c r="B34" i="8"/>
  <c r="D34" i="8"/>
  <c r="T10" i="10"/>
  <c r="R11" i="10"/>
  <c r="S11" i="10"/>
  <c r="Q11" i="10"/>
  <c r="T62" i="10"/>
  <c r="T52" i="10"/>
  <c r="Q31" i="10"/>
  <c r="S31" i="10"/>
  <c r="T30" i="10"/>
  <c r="N10" i="10"/>
  <c r="L11" i="10"/>
  <c r="O11" i="10"/>
  <c r="M11" i="10"/>
  <c r="B14" i="7"/>
  <c r="A14" i="8"/>
  <c r="E14" i="7"/>
  <c r="A14" i="3"/>
  <c r="D14" i="7"/>
  <c r="C14" i="7"/>
  <c r="A14" i="9"/>
  <c r="F14" i="7"/>
  <c r="L41" i="10"/>
  <c r="N42" i="10"/>
  <c r="O41" i="10"/>
  <c r="N49" i="10"/>
  <c r="N82" i="10"/>
  <c r="M81" i="10"/>
  <c r="C26" i="7"/>
  <c r="A26" i="9"/>
  <c r="F26" i="7"/>
  <c r="A27" i="7"/>
  <c r="A25" i="7"/>
  <c r="A24" i="7"/>
  <c r="A26" i="3"/>
  <c r="B26" i="7"/>
  <c r="A28" i="7"/>
  <c r="A26" i="8"/>
  <c r="E26" i="7"/>
  <c r="D26" i="7"/>
  <c r="J32" i="2"/>
  <c r="O30" i="10"/>
  <c r="N29" i="10"/>
  <c r="L30" i="10"/>
  <c r="V31" i="1"/>
  <c r="V41" i="1"/>
  <c r="A18" i="8"/>
  <c r="A18" i="3"/>
  <c r="C18" i="7"/>
  <c r="A18" i="9"/>
  <c r="B18" i="7"/>
  <c r="D18" i="7"/>
  <c r="F18" i="7"/>
  <c r="E18" i="7"/>
  <c r="A15" i="8"/>
  <c r="A15" i="3"/>
  <c r="D15" i="7"/>
  <c r="C15" i="7"/>
  <c r="B15" i="7"/>
  <c r="A15" i="9"/>
  <c r="F15" i="7"/>
  <c r="E15" i="7"/>
  <c r="M74" i="10"/>
  <c r="N73" i="10"/>
  <c r="E16" i="3"/>
  <c r="D16" i="3"/>
  <c r="B16" i="3"/>
  <c r="C16" i="3"/>
  <c r="F16" i="3"/>
  <c r="T32" i="2"/>
  <c r="T42" i="2"/>
  <c r="N17" i="10"/>
  <c r="M16" i="10"/>
  <c r="O16" i="10"/>
  <c r="L16" i="10"/>
  <c r="C16" i="8"/>
  <c r="B16" i="8"/>
  <c r="F16" i="8"/>
  <c r="E16" i="8"/>
  <c r="D16" i="8"/>
  <c r="N60" i="10"/>
  <c r="A17" i="9"/>
  <c r="E17" i="7"/>
  <c r="D17" i="7"/>
  <c r="A17" i="8"/>
  <c r="B17" i="7"/>
  <c r="A17" i="3"/>
  <c r="F17" i="7"/>
  <c r="C17" i="7"/>
  <c r="J31" i="10" l="1"/>
  <c r="P43" i="1"/>
  <c r="J38" i="10"/>
  <c r="J33" i="10"/>
  <c r="M41" i="10"/>
  <c r="I33" i="10"/>
  <c r="I36" i="10"/>
  <c r="I28" i="10"/>
  <c r="I34" i="10"/>
  <c r="D74" i="10"/>
  <c r="G82" i="10"/>
  <c r="O57" i="10"/>
  <c r="L45" i="2"/>
  <c r="D81" i="10"/>
  <c r="G79" i="10"/>
  <c r="D75" i="10"/>
  <c r="G28" i="10"/>
  <c r="G71" i="10"/>
  <c r="G83" i="10"/>
  <c r="C75" i="10"/>
  <c r="D79" i="10"/>
  <c r="G80" i="10"/>
  <c r="D80" i="10"/>
  <c r="G81" i="10"/>
  <c r="C77" i="10"/>
  <c r="C81" i="10"/>
  <c r="C78" i="10"/>
  <c r="G74" i="10"/>
  <c r="D76" i="10"/>
  <c r="C79" i="10"/>
  <c r="G77" i="10"/>
  <c r="L75" i="10"/>
  <c r="L77" i="10"/>
  <c r="P41" i="1"/>
  <c r="R45" i="2"/>
  <c r="M39" i="10"/>
  <c r="G30" i="10"/>
  <c r="C34" i="10"/>
  <c r="J41" i="10"/>
  <c r="R35" i="10"/>
  <c r="M33" i="10"/>
  <c r="M36" i="10"/>
  <c r="G29" i="10"/>
  <c r="G36" i="10"/>
  <c r="M35" i="10"/>
  <c r="M30" i="10"/>
  <c r="C74" i="10"/>
  <c r="L44" i="2"/>
  <c r="S59" i="10"/>
  <c r="L76" i="10"/>
  <c r="G75" i="10"/>
  <c r="G84" i="10"/>
  <c r="R37" i="10"/>
  <c r="J30" i="10"/>
  <c r="C35" i="10"/>
  <c r="C80" i="10"/>
  <c r="I31" i="10"/>
  <c r="G41" i="10"/>
  <c r="I38" i="10"/>
  <c r="C32" i="10"/>
  <c r="I30" i="10"/>
  <c r="C31" i="10"/>
  <c r="R39" i="10"/>
  <c r="M38" i="10"/>
  <c r="I40" i="10"/>
  <c r="L81" i="10"/>
  <c r="R42" i="2"/>
  <c r="D78" i="10"/>
  <c r="D77" i="10"/>
  <c r="G73" i="10"/>
  <c r="M34" i="10"/>
  <c r="J28" i="10"/>
  <c r="J36" i="10"/>
  <c r="G35" i="10"/>
  <c r="R33" i="10"/>
  <c r="G31" i="10"/>
  <c r="C36" i="10"/>
  <c r="G42" i="10"/>
  <c r="G38" i="10"/>
  <c r="R32" i="10"/>
  <c r="R31" i="10"/>
  <c r="I42" i="10"/>
  <c r="I41" i="10"/>
  <c r="M32" i="10"/>
  <c r="C33" i="10"/>
  <c r="R82" i="10"/>
  <c r="J29" i="10"/>
  <c r="R36" i="10"/>
  <c r="I37" i="10"/>
  <c r="L74" i="10"/>
  <c r="S61" i="10"/>
  <c r="L79" i="10"/>
  <c r="G70" i="10"/>
  <c r="G72" i="10"/>
  <c r="J40" i="10"/>
  <c r="J35" i="10"/>
  <c r="J34" i="10"/>
  <c r="I39" i="10"/>
  <c r="M31" i="10"/>
  <c r="G33" i="10"/>
  <c r="I29" i="10"/>
  <c r="M40" i="10"/>
  <c r="J42" i="10"/>
  <c r="G40" i="10"/>
  <c r="C37" i="10"/>
  <c r="O53" i="10"/>
  <c r="J32" i="10"/>
  <c r="G37" i="10"/>
  <c r="R38" i="10"/>
  <c r="C76" i="10"/>
  <c r="G76" i="10"/>
  <c r="G78" i="10"/>
  <c r="M37" i="10"/>
  <c r="J37" i="10"/>
  <c r="J39" i="10"/>
  <c r="L80" i="10"/>
  <c r="G39" i="10"/>
  <c r="G34" i="10"/>
  <c r="G32" i="10"/>
  <c r="I35" i="10"/>
  <c r="I32" i="10"/>
  <c r="J83" i="10"/>
  <c r="O54" i="10"/>
  <c r="O58" i="10"/>
  <c r="S55" i="10"/>
  <c r="S54" i="10"/>
  <c r="O56" i="10"/>
  <c r="S60" i="10"/>
  <c r="O75" i="10"/>
  <c r="O59" i="10"/>
  <c r="R74" i="10"/>
  <c r="O55" i="10"/>
  <c r="Q76" i="10"/>
  <c r="Q73" i="10"/>
  <c r="R79" i="10"/>
  <c r="S58" i="10"/>
  <c r="E80" i="10"/>
  <c r="J71" i="10"/>
  <c r="O52" i="10"/>
  <c r="E79" i="10"/>
  <c r="S53" i="10"/>
  <c r="J80" i="10"/>
  <c r="S56" i="10"/>
  <c r="O50" i="10"/>
  <c r="R84" i="10"/>
  <c r="S75" i="10"/>
  <c r="S57" i="10"/>
  <c r="J26" i="3"/>
  <c r="E38" i="9"/>
  <c r="C36" i="9"/>
  <c r="H45" i="2"/>
  <c r="I14" i="9"/>
  <c r="H44" i="2"/>
  <c r="R75" i="10"/>
  <c r="J70" i="10"/>
  <c r="O78" i="10"/>
  <c r="J76" i="10"/>
  <c r="J82" i="10"/>
  <c r="E77" i="10"/>
  <c r="Q72" i="10"/>
  <c r="S76" i="10"/>
  <c r="J84" i="10"/>
  <c r="R76" i="10"/>
  <c r="E81" i="10"/>
  <c r="S74" i="10"/>
  <c r="Q75" i="10"/>
  <c r="J81" i="10"/>
  <c r="D57" i="10"/>
  <c r="K16" i="9"/>
  <c r="J14" i="9"/>
  <c r="Q74" i="10"/>
  <c r="J75" i="10"/>
  <c r="E53" i="10"/>
  <c r="Q54" i="10"/>
  <c r="E54" i="10"/>
  <c r="Q56" i="10"/>
  <c r="Q61" i="10"/>
  <c r="L54" i="10"/>
  <c r="L58" i="10"/>
  <c r="L50" i="10"/>
  <c r="D58" i="10"/>
  <c r="L56" i="10"/>
  <c r="L55" i="10"/>
  <c r="Q59" i="10"/>
  <c r="D56" i="10"/>
  <c r="E57" i="10"/>
  <c r="Q55" i="10"/>
  <c r="L51" i="10"/>
  <c r="D60" i="10"/>
  <c r="Q57" i="10"/>
  <c r="E60" i="10"/>
  <c r="I18" i="9"/>
  <c r="L53" i="10"/>
  <c r="E56" i="10"/>
  <c r="E59" i="10"/>
  <c r="D54" i="10"/>
  <c r="D59" i="10"/>
  <c r="L59" i="10"/>
  <c r="L57" i="10"/>
  <c r="Q53" i="10"/>
  <c r="D52" i="10"/>
  <c r="D55" i="10"/>
  <c r="L52" i="10"/>
  <c r="Q58" i="10"/>
  <c r="E52" i="10"/>
  <c r="E55" i="10"/>
  <c r="E58" i="10"/>
  <c r="K18" i="9"/>
  <c r="O79" i="10"/>
  <c r="R80" i="10"/>
  <c r="J72" i="10"/>
  <c r="Q78" i="10"/>
  <c r="S81" i="10"/>
  <c r="Q83" i="10"/>
  <c r="I15" i="9"/>
  <c r="O81" i="10"/>
  <c r="D34" i="9"/>
  <c r="S82" i="10"/>
  <c r="R81" i="10"/>
  <c r="S83" i="10"/>
  <c r="O80" i="10"/>
  <c r="O77" i="10"/>
  <c r="K17" i="9"/>
  <c r="E74" i="10"/>
  <c r="S80" i="10"/>
  <c r="S77" i="10"/>
  <c r="J77" i="10"/>
  <c r="J73" i="10"/>
  <c r="O74" i="10"/>
  <c r="S72" i="10"/>
  <c r="S84" i="10"/>
  <c r="J17" i="9"/>
  <c r="Q80" i="10"/>
  <c r="Q82" i="10"/>
  <c r="J74" i="10"/>
  <c r="Q79" i="10"/>
  <c r="J78" i="10"/>
  <c r="S79" i="10"/>
  <c r="E78" i="10"/>
  <c r="E76" i="10"/>
  <c r="R72" i="10"/>
  <c r="Q84" i="10"/>
  <c r="Q81" i="10"/>
  <c r="Q77" i="10"/>
  <c r="J79" i="10"/>
  <c r="S78" i="10"/>
  <c r="R77" i="10"/>
  <c r="R78" i="10"/>
  <c r="E75" i="10"/>
  <c r="R83" i="10"/>
  <c r="O76" i="10"/>
  <c r="M18" i="9"/>
  <c r="L15" i="9"/>
  <c r="L16" i="9"/>
  <c r="K14" i="9"/>
  <c r="J18" i="9"/>
  <c r="M16" i="9"/>
  <c r="C59" i="10"/>
  <c r="L17" i="9"/>
  <c r="M14" i="9"/>
  <c r="M15" i="9"/>
  <c r="K15" i="9"/>
  <c r="I16" i="9"/>
  <c r="Q60" i="10"/>
  <c r="M17" i="9"/>
  <c r="L14" i="9"/>
  <c r="I17" i="9"/>
  <c r="L18" i="9"/>
  <c r="J16" i="9"/>
  <c r="R73" i="10"/>
  <c r="F38" i="9"/>
  <c r="E37" i="9"/>
  <c r="D35" i="9"/>
  <c r="B35" i="9"/>
  <c r="B34" i="9"/>
  <c r="C34" i="9"/>
  <c r="E36" i="9"/>
  <c r="C35" i="9"/>
  <c r="D36" i="9"/>
  <c r="B36" i="9"/>
  <c r="G54" i="10"/>
  <c r="D38" i="9"/>
  <c r="F34" i="9"/>
  <c r="E35" i="9"/>
  <c r="F36" i="9"/>
  <c r="J61" i="10"/>
  <c r="D37" i="9"/>
  <c r="C38" i="9"/>
  <c r="E34" i="9"/>
  <c r="F35" i="9"/>
  <c r="B38" i="9"/>
  <c r="C37" i="9"/>
  <c r="G58" i="10"/>
  <c r="R55" i="10"/>
  <c r="J49" i="10"/>
  <c r="R54" i="10"/>
  <c r="G63" i="10"/>
  <c r="G59" i="10"/>
  <c r="I49" i="10"/>
  <c r="G53" i="10"/>
  <c r="G60" i="10"/>
  <c r="J62" i="10"/>
  <c r="C54" i="10"/>
  <c r="I61" i="10"/>
  <c r="J51" i="10"/>
  <c r="I60" i="10"/>
  <c r="F37" i="9"/>
  <c r="J42" i="2"/>
  <c r="G50" i="10"/>
  <c r="R59" i="10"/>
  <c r="G61" i="10"/>
  <c r="M53" i="10"/>
  <c r="C52" i="10"/>
  <c r="G52" i="10"/>
  <c r="J50" i="10"/>
  <c r="J57" i="10"/>
  <c r="R60" i="10"/>
  <c r="I51" i="10"/>
  <c r="I58" i="10"/>
  <c r="M55" i="10"/>
  <c r="M58" i="10"/>
  <c r="G55" i="10"/>
  <c r="R56" i="10"/>
  <c r="M50" i="10"/>
  <c r="C58" i="10"/>
  <c r="I50" i="10"/>
  <c r="M52" i="10"/>
  <c r="R53" i="10"/>
  <c r="G57" i="10"/>
  <c r="G51" i="10"/>
  <c r="J52" i="10"/>
  <c r="J63" i="10"/>
  <c r="I53" i="10"/>
  <c r="I55" i="10"/>
  <c r="I62" i="10"/>
  <c r="I57" i="10"/>
  <c r="J45" i="2"/>
  <c r="R58" i="10"/>
  <c r="J54" i="10"/>
  <c r="I52" i="10"/>
  <c r="M59" i="10"/>
  <c r="R61" i="10"/>
  <c r="C60" i="10"/>
  <c r="G56" i="10"/>
  <c r="C57" i="10"/>
  <c r="J56" i="10"/>
  <c r="J53" i="10"/>
  <c r="J60" i="10"/>
  <c r="I59" i="10"/>
  <c r="C53" i="10"/>
  <c r="M51" i="10"/>
  <c r="J59" i="10"/>
  <c r="I54" i="10"/>
  <c r="M57" i="10"/>
  <c r="C55" i="10"/>
  <c r="C56" i="10"/>
  <c r="G49" i="10"/>
  <c r="G62" i="10"/>
  <c r="R57" i="10"/>
  <c r="J58" i="10"/>
  <c r="J55" i="10"/>
  <c r="M56" i="10"/>
  <c r="I56" i="10"/>
  <c r="D45" i="2"/>
  <c r="M54" i="10"/>
  <c r="I63" i="10"/>
  <c r="E16" i="9"/>
  <c r="F16" i="9"/>
  <c r="D42" i="2"/>
  <c r="B16" i="9"/>
  <c r="C16" i="9"/>
  <c r="F44" i="2"/>
  <c r="F45" i="2"/>
  <c r="F42" i="2"/>
  <c r="K26" i="3"/>
  <c r="M26" i="3"/>
  <c r="L26" i="3"/>
  <c r="I26" i="3"/>
  <c r="K26" i="8"/>
  <c r="H24" i="8"/>
  <c r="H24" i="3"/>
  <c r="H24" i="9"/>
  <c r="K24" i="7"/>
  <c r="L24" i="7"/>
  <c r="M24" i="7"/>
  <c r="I24" i="7"/>
  <c r="J24" i="7"/>
  <c r="J26" i="8"/>
  <c r="H28" i="9"/>
  <c r="H28" i="8"/>
  <c r="H28" i="3"/>
  <c r="I28" i="7"/>
  <c r="J28" i="7"/>
  <c r="L28" i="7"/>
  <c r="M28" i="7"/>
  <c r="K28" i="7"/>
  <c r="J26" i="9"/>
  <c r="K26" i="9"/>
  <c r="L26" i="9"/>
  <c r="I26" i="9"/>
  <c r="M26" i="9"/>
  <c r="H17" i="10"/>
  <c r="J16" i="10"/>
  <c r="I16" i="10"/>
  <c r="G16" i="10"/>
  <c r="H27" i="3"/>
  <c r="H27" i="9"/>
  <c r="H27" i="8"/>
  <c r="I27" i="7"/>
  <c r="J27" i="7"/>
  <c r="K27" i="7"/>
  <c r="L27" i="7"/>
  <c r="M27" i="7"/>
  <c r="M26" i="8"/>
  <c r="I26" i="8"/>
  <c r="H25" i="8"/>
  <c r="H25" i="9"/>
  <c r="H25" i="3"/>
  <c r="K25" i="7"/>
  <c r="J25" i="7"/>
  <c r="M25" i="7"/>
  <c r="I25" i="7"/>
  <c r="L25" i="7"/>
  <c r="H11" i="10"/>
  <c r="J12" i="10"/>
  <c r="I12" i="10"/>
  <c r="G12" i="10"/>
  <c r="D10" i="10"/>
  <c r="E10" i="10"/>
  <c r="B9" i="10"/>
  <c r="C10" i="10"/>
  <c r="D73" i="10"/>
  <c r="B72" i="10"/>
  <c r="C73" i="10"/>
  <c r="E73" i="10"/>
  <c r="D61" i="10"/>
  <c r="E61" i="10"/>
  <c r="B62" i="10"/>
  <c r="C61" i="10"/>
  <c r="E17" i="10"/>
  <c r="B18" i="10"/>
  <c r="D17" i="10"/>
  <c r="C17" i="10"/>
  <c r="C51" i="10"/>
  <c r="B50" i="10"/>
  <c r="D51" i="10"/>
  <c r="E51" i="10"/>
  <c r="D30" i="10"/>
  <c r="E30" i="10"/>
  <c r="B29" i="10"/>
  <c r="C30" i="10"/>
  <c r="C38" i="10"/>
  <c r="D38" i="10"/>
  <c r="B39" i="10"/>
  <c r="E38" i="10"/>
  <c r="E82" i="10"/>
  <c r="C82" i="10"/>
  <c r="B83" i="10"/>
  <c r="D82" i="10"/>
  <c r="S40" i="10"/>
  <c r="Q40" i="10"/>
  <c r="R40" i="10"/>
  <c r="T41" i="10"/>
  <c r="T29" i="10"/>
  <c r="S30" i="10"/>
  <c r="Q30" i="10"/>
  <c r="R30" i="10"/>
  <c r="S18" i="10"/>
  <c r="Q18" i="10"/>
  <c r="T19" i="10"/>
  <c r="R18" i="10"/>
  <c r="T9" i="10"/>
  <c r="S10" i="10"/>
  <c r="Q10" i="10"/>
  <c r="R10" i="10"/>
  <c r="Q62" i="10"/>
  <c r="S62" i="10"/>
  <c r="T63" i="10"/>
  <c r="R62" i="10"/>
  <c r="R71" i="10"/>
  <c r="S71" i="10"/>
  <c r="T70" i="10"/>
  <c r="Q71" i="10"/>
  <c r="T51" i="10"/>
  <c r="Q52" i="10"/>
  <c r="S52" i="10"/>
  <c r="R52" i="10"/>
  <c r="F24" i="7"/>
  <c r="C24" i="7"/>
  <c r="A24" i="9"/>
  <c r="A24" i="3"/>
  <c r="E24" i="7"/>
  <c r="B24" i="7"/>
  <c r="D24" i="7"/>
  <c r="A24" i="8"/>
  <c r="F18" i="9"/>
  <c r="E18" i="9"/>
  <c r="B18" i="9"/>
  <c r="C18" i="9"/>
  <c r="D18" i="9"/>
  <c r="M60" i="10"/>
  <c r="L60" i="10"/>
  <c r="O60" i="10"/>
  <c r="N61" i="10"/>
  <c r="O29" i="10"/>
  <c r="L29" i="10"/>
  <c r="N28" i="10"/>
  <c r="M29" i="10"/>
  <c r="D14" i="3"/>
  <c r="C14" i="3"/>
  <c r="E14" i="3"/>
  <c r="F14" i="3"/>
  <c r="B14" i="3"/>
  <c r="C17" i="3"/>
  <c r="E17" i="3"/>
  <c r="D17" i="3"/>
  <c r="B17" i="3"/>
  <c r="F17" i="3"/>
  <c r="E15" i="9"/>
  <c r="D15" i="9"/>
  <c r="C15" i="9"/>
  <c r="B15" i="9"/>
  <c r="F15" i="9"/>
  <c r="F26" i="3"/>
  <c r="E26" i="3"/>
  <c r="C26" i="3"/>
  <c r="D26" i="3"/>
  <c r="B26" i="3"/>
  <c r="C14" i="8"/>
  <c r="E14" i="8"/>
  <c r="B14" i="8"/>
  <c r="F14" i="8"/>
  <c r="D14" i="8"/>
  <c r="N83" i="10"/>
  <c r="M82" i="10"/>
  <c r="O82" i="10"/>
  <c r="L82" i="10"/>
  <c r="B27" i="7"/>
  <c r="A27" i="9"/>
  <c r="F27" i="7"/>
  <c r="A27" i="8"/>
  <c r="C27" i="7"/>
  <c r="E27" i="7"/>
  <c r="A27" i="3"/>
  <c r="D27" i="7"/>
  <c r="B15" i="3"/>
  <c r="D15" i="3"/>
  <c r="F15" i="3"/>
  <c r="C15" i="3"/>
  <c r="E15" i="3"/>
  <c r="F18" i="3"/>
  <c r="B18" i="3"/>
  <c r="C18" i="3"/>
  <c r="D18" i="3"/>
  <c r="E18" i="3"/>
  <c r="E14" i="9"/>
  <c r="F14" i="9"/>
  <c r="D14" i="9"/>
  <c r="C14" i="9"/>
  <c r="B14" i="9"/>
  <c r="L42" i="10"/>
  <c r="M42" i="10"/>
  <c r="O42" i="10"/>
  <c r="B17" i="8"/>
  <c r="F17" i="8"/>
  <c r="D17" i="8"/>
  <c r="C17" i="8"/>
  <c r="E17" i="8"/>
  <c r="M17" i="10"/>
  <c r="L17" i="10"/>
  <c r="N18" i="10"/>
  <c r="O17" i="10"/>
  <c r="D25" i="7"/>
  <c r="E25" i="7"/>
  <c r="B25" i="7"/>
  <c r="A25" i="8"/>
  <c r="A25" i="9"/>
  <c r="A25" i="3"/>
  <c r="C25" i="7"/>
  <c r="F25" i="7"/>
  <c r="E17" i="9"/>
  <c r="B17" i="9"/>
  <c r="C17" i="9"/>
  <c r="F17" i="9"/>
  <c r="D17" i="9"/>
  <c r="E15" i="8"/>
  <c r="D15" i="8"/>
  <c r="C15" i="8"/>
  <c r="B15" i="8"/>
  <c r="F15" i="8"/>
  <c r="E18" i="8"/>
  <c r="D18" i="8"/>
  <c r="B18" i="8"/>
  <c r="F18" i="8"/>
  <c r="C18" i="8"/>
  <c r="F26" i="8"/>
  <c r="C26" i="8"/>
  <c r="E26" i="8"/>
  <c r="D26" i="8"/>
  <c r="B26" i="8"/>
  <c r="E26" i="9"/>
  <c r="F26" i="9"/>
  <c r="B26" i="9"/>
  <c r="D26" i="9"/>
  <c r="C26" i="9"/>
  <c r="M49" i="10"/>
  <c r="O49" i="10"/>
  <c r="L49" i="10"/>
  <c r="M73" i="10"/>
  <c r="L73" i="10"/>
  <c r="N72" i="10"/>
  <c r="O73" i="10"/>
  <c r="B28" i="7"/>
  <c r="E28" i="7"/>
  <c r="C28" i="7"/>
  <c r="D28" i="7"/>
  <c r="A28" i="9"/>
  <c r="F28" i="7"/>
  <c r="A28" i="8"/>
  <c r="A28" i="3"/>
  <c r="N9" i="10"/>
  <c r="M10" i="10"/>
  <c r="O10" i="10"/>
  <c r="L10" i="10"/>
  <c r="I25" i="3" l="1"/>
  <c r="M25" i="3"/>
  <c r="J25" i="3"/>
  <c r="K25" i="3"/>
  <c r="L25" i="3"/>
  <c r="K25" i="9"/>
  <c r="M25" i="9"/>
  <c r="I25" i="9"/>
  <c r="L25" i="9"/>
  <c r="J25" i="9"/>
  <c r="I27" i="8"/>
  <c r="M27" i="8"/>
  <c r="J27" i="8"/>
  <c r="L27" i="8"/>
  <c r="K27" i="8"/>
  <c r="I27" i="9"/>
  <c r="L27" i="9"/>
  <c r="M27" i="9"/>
  <c r="J27" i="9"/>
  <c r="K27" i="9"/>
  <c r="M28" i="3"/>
  <c r="J28" i="3"/>
  <c r="I28" i="3"/>
  <c r="K28" i="3"/>
  <c r="L28" i="3"/>
  <c r="H18" i="10"/>
  <c r="G17" i="10"/>
  <c r="J17" i="10"/>
  <c r="I17" i="10"/>
  <c r="J25" i="8"/>
  <c r="I25" i="8"/>
  <c r="M25" i="8"/>
  <c r="L25" i="8"/>
  <c r="K25" i="8"/>
  <c r="M27" i="3"/>
  <c r="I27" i="3"/>
  <c r="J27" i="3"/>
  <c r="K27" i="3"/>
  <c r="L27" i="3"/>
  <c r="I28" i="8"/>
  <c r="K28" i="8"/>
  <c r="M28" i="8"/>
  <c r="J28" i="8"/>
  <c r="L28" i="8"/>
  <c r="J24" i="9"/>
  <c r="K24" i="9"/>
  <c r="L24" i="9"/>
  <c r="I24" i="9"/>
  <c r="M24" i="9"/>
  <c r="K28" i="9"/>
  <c r="J28" i="9"/>
  <c r="M28" i="9"/>
  <c r="L28" i="9"/>
  <c r="I28" i="9"/>
  <c r="K24" i="3"/>
  <c r="I24" i="3"/>
  <c r="M24" i="3"/>
  <c r="J24" i="3"/>
  <c r="L24" i="3"/>
  <c r="H10" i="10"/>
  <c r="J11" i="10"/>
  <c r="I11" i="10"/>
  <c r="G11" i="10"/>
  <c r="K24" i="8"/>
  <c r="J24" i="8"/>
  <c r="L24" i="8"/>
  <c r="M24" i="8"/>
  <c r="I24" i="8"/>
  <c r="C72" i="10"/>
  <c r="B71" i="10"/>
  <c r="D72" i="10"/>
  <c r="E72" i="10"/>
  <c r="D39" i="10"/>
  <c r="B40" i="10"/>
  <c r="C39" i="10"/>
  <c r="E39" i="10"/>
  <c r="E62" i="10"/>
  <c r="D62" i="10"/>
  <c r="B63" i="10"/>
  <c r="C62" i="10"/>
  <c r="B8" i="10"/>
  <c r="C9" i="10"/>
  <c r="E9" i="10"/>
  <c r="D9" i="10"/>
  <c r="C29" i="10"/>
  <c r="E29" i="10"/>
  <c r="B28" i="10"/>
  <c r="D29" i="10"/>
  <c r="C50" i="10"/>
  <c r="D50" i="10"/>
  <c r="B49" i="10"/>
  <c r="E50" i="10"/>
  <c r="B84" i="10"/>
  <c r="D83" i="10"/>
  <c r="E83" i="10"/>
  <c r="C83" i="10"/>
  <c r="D18" i="10"/>
  <c r="C18" i="10"/>
  <c r="E18" i="10"/>
  <c r="B19" i="10"/>
  <c r="S70" i="10"/>
  <c r="R70" i="10"/>
  <c r="Q70" i="10"/>
  <c r="R9" i="10"/>
  <c r="T8" i="10"/>
  <c r="Q9" i="10"/>
  <c r="S9" i="10"/>
  <c r="Q29" i="10"/>
  <c r="R29" i="10"/>
  <c r="S29" i="10"/>
  <c r="T28" i="10"/>
  <c r="T42" i="10"/>
  <c r="R41" i="10"/>
  <c r="Q41" i="10"/>
  <c r="S41" i="10"/>
  <c r="R63" i="10"/>
  <c r="S63" i="10"/>
  <c r="Q63" i="10"/>
  <c r="S19" i="10"/>
  <c r="Q19" i="10"/>
  <c r="T20" i="10"/>
  <c r="R19" i="10"/>
  <c r="Q51" i="10"/>
  <c r="R51" i="10"/>
  <c r="S51" i="10"/>
  <c r="T50" i="10"/>
  <c r="B28" i="3"/>
  <c r="D28" i="3"/>
  <c r="F28" i="3"/>
  <c r="C28" i="3"/>
  <c r="E28" i="3"/>
  <c r="B28" i="8"/>
  <c r="C28" i="8"/>
  <c r="F28" i="8"/>
  <c r="D28" i="8"/>
  <c r="E28" i="8"/>
  <c r="B24" i="8"/>
  <c r="D24" i="8"/>
  <c r="C24" i="8"/>
  <c r="F24" i="8"/>
  <c r="E24" i="8"/>
  <c r="N84" i="10"/>
  <c r="M83" i="10"/>
  <c r="O83" i="10"/>
  <c r="L83" i="10"/>
  <c r="O9" i="10"/>
  <c r="N8" i="10"/>
  <c r="M9" i="10"/>
  <c r="L9" i="10"/>
  <c r="C27" i="8"/>
  <c r="E27" i="8"/>
  <c r="B27" i="8"/>
  <c r="F27" i="8"/>
  <c r="D27" i="8"/>
  <c r="D27" i="9"/>
  <c r="F27" i="9"/>
  <c r="E27" i="9"/>
  <c r="B27" i="9"/>
  <c r="C27" i="9"/>
  <c r="B24" i="3"/>
  <c r="D24" i="3"/>
  <c r="E24" i="3"/>
  <c r="F24" i="3"/>
  <c r="C24" i="3"/>
  <c r="F25" i="3"/>
  <c r="B25" i="3"/>
  <c r="C25" i="3"/>
  <c r="D25" i="3"/>
  <c r="E25" i="3"/>
  <c r="D24" i="9"/>
  <c r="B24" i="9"/>
  <c r="C24" i="9"/>
  <c r="E24" i="9"/>
  <c r="F24" i="9"/>
  <c r="N71" i="10"/>
  <c r="L72" i="10"/>
  <c r="M72" i="10"/>
  <c r="O72" i="10"/>
  <c r="N19" i="10"/>
  <c r="M18" i="10"/>
  <c r="L18" i="10"/>
  <c r="O18" i="10"/>
  <c r="C28" i="9"/>
  <c r="E28" i="9"/>
  <c r="B28" i="9"/>
  <c r="D28" i="9"/>
  <c r="F28" i="9"/>
  <c r="B25" i="9"/>
  <c r="F25" i="9"/>
  <c r="D25" i="9"/>
  <c r="C25" i="9"/>
  <c r="E25" i="9"/>
  <c r="O28" i="10"/>
  <c r="M28" i="10"/>
  <c r="L28" i="10"/>
  <c r="C25" i="8"/>
  <c r="E25" i="8"/>
  <c r="B25" i="8"/>
  <c r="F25" i="8"/>
  <c r="D25" i="8"/>
  <c r="E27" i="3"/>
  <c r="B27" i="3"/>
  <c r="C27" i="3"/>
  <c r="D27" i="3"/>
  <c r="F27" i="3"/>
  <c r="M61" i="10"/>
  <c r="O61" i="10"/>
  <c r="L61" i="10"/>
  <c r="N62" i="10"/>
  <c r="H9" i="10" l="1"/>
  <c r="J10" i="10"/>
  <c r="G10" i="10"/>
  <c r="I10" i="10"/>
  <c r="H19" i="10"/>
  <c r="J18" i="10"/>
  <c r="G18" i="10"/>
  <c r="I18" i="10"/>
  <c r="C19" i="10"/>
  <c r="D19" i="10"/>
  <c r="E19" i="10"/>
  <c r="B20" i="10"/>
  <c r="E49" i="10"/>
  <c r="D49" i="10"/>
  <c r="C49" i="10"/>
  <c r="D28" i="10"/>
  <c r="C28" i="10"/>
  <c r="E28" i="10"/>
  <c r="C63" i="10"/>
  <c r="D63" i="10"/>
  <c r="E63" i="10"/>
  <c r="B70" i="10"/>
  <c r="E71" i="10"/>
  <c r="D71" i="10"/>
  <c r="C71" i="10"/>
  <c r="C40" i="10"/>
  <c r="E40" i="10"/>
  <c r="B41" i="10"/>
  <c r="D40" i="10"/>
  <c r="C8" i="10"/>
  <c r="D8" i="10"/>
  <c r="B7" i="10"/>
  <c r="E8" i="10"/>
  <c r="E84" i="10"/>
  <c r="D84" i="10"/>
  <c r="C84" i="10"/>
  <c r="R8" i="10"/>
  <c r="S8" i="10"/>
  <c r="Q8" i="10"/>
  <c r="T7" i="10"/>
  <c r="S42" i="10"/>
  <c r="R42" i="10"/>
  <c r="Q42" i="10"/>
  <c r="S28" i="10"/>
  <c r="Q28" i="10"/>
  <c r="R28" i="10"/>
  <c r="R50" i="10"/>
  <c r="S50" i="10"/>
  <c r="T49" i="10"/>
  <c r="Q50" i="10"/>
  <c r="T21" i="10"/>
  <c r="S20" i="10"/>
  <c r="Q20" i="10"/>
  <c r="R20" i="10"/>
  <c r="M19" i="10"/>
  <c r="O19" i="10"/>
  <c r="N20" i="10"/>
  <c r="L19" i="10"/>
  <c r="O84" i="10"/>
  <c r="M84" i="10"/>
  <c r="L84" i="10"/>
  <c r="L8" i="10"/>
  <c r="N7" i="10"/>
  <c r="O8" i="10"/>
  <c r="M8" i="10"/>
  <c r="N63" i="10"/>
  <c r="O62" i="10"/>
  <c r="L62" i="10"/>
  <c r="M62" i="10"/>
  <c r="N70" i="10"/>
  <c r="M71" i="10"/>
  <c r="L71" i="10"/>
  <c r="O71" i="10"/>
  <c r="H20" i="10" l="1"/>
  <c r="J19" i="10"/>
  <c r="I19" i="10"/>
  <c r="G19" i="10"/>
  <c r="H8" i="10"/>
  <c r="J9" i="10"/>
  <c r="I9" i="10"/>
  <c r="G9" i="10"/>
  <c r="D7" i="10"/>
  <c r="C7" i="10"/>
  <c r="E7" i="10"/>
  <c r="E70" i="10"/>
  <c r="C70" i="10"/>
  <c r="D70" i="10"/>
  <c r="E41" i="10"/>
  <c r="C41" i="10"/>
  <c r="B42" i="10"/>
  <c r="D41" i="10"/>
  <c r="D20" i="10"/>
  <c r="E20" i="10"/>
  <c r="B21" i="10"/>
  <c r="C20" i="10"/>
  <c r="Q21" i="10"/>
  <c r="R21" i="10"/>
  <c r="S21" i="10"/>
  <c r="R7" i="10"/>
  <c r="Q7" i="10"/>
  <c r="S7" i="10"/>
  <c r="Q49" i="10"/>
  <c r="S49" i="10"/>
  <c r="R49" i="10"/>
  <c r="O7" i="10"/>
  <c r="L7" i="10"/>
  <c r="M7" i="10"/>
  <c r="L70" i="10"/>
  <c r="O70" i="10"/>
  <c r="M70" i="10"/>
  <c r="O20" i="10"/>
  <c r="L20" i="10"/>
  <c r="M20" i="10"/>
  <c r="N21" i="10"/>
  <c r="O63" i="10"/>
  <c r="M63" i="10"/>
  <c r="L63" i="10"/>
  <c r="H7" i="10" l="1"/>
  <c r="J8" i="10"/>
  <c r="G8" i="10"/>
  <c r="I8" i="10"/>
  <c r="H21" i="10"/>
  <c r="J20" i="10"/>
  <c r="I20" i="10"/>
  <c r="G20" i="10"/>
  <c r="C21" i="10"/>
  <c r="E21" i="10"/>
  <c r="D21" i="10"/>
  <c r="D42" i="10"/>
  <c r="C42" i="10"/>
  <c r="E42" i="10"/>
  <c r="L21" i="10"/>
  <c r="M21" i="10"/>
  <c r="O21" i="10"/>
  <c r="J21" i="10" l="1"/>
  <c r="G21" i="10"/>
  <c r="I21" i="10"/>
  <c r="J7" i="10"/>
  <c r="I7" i="10"/>
  <c r="G7" i="10"/>
</calcChain>
</file>

<file path=xl/sharedStrings.xml><?xml version="1.0" encoding="utf-8"?>
<sst xmlns="http://schemas.openxmlformats.org/spreadsheetml/2006/main" count="753" uniqueCount="184">
  <si>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</si>
  <si>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</si>
  <si>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</si>
  <si>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</si>
  <si>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</si>
  <si>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</si>
  <si>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</si>
  <si>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</si>
  <si>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</si>
  <si>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</si>
  <si>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</si>
  <si>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</si>
  <si>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</si>
  <si>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</si>
  <si>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</si>
  <si>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</si>
  <si>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</si>
  <si>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</si>
  <si>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</si>
  <si>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</si>
  <si>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</si>
  <si>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</si>
  <si>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</si>
  <si>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</si>
  <si>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</si>
  <si>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</si>
  <si>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</si>
  <si>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</si>
  <si>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</si>
  <si>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</si>
  <si>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</si>
  <si>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</si>
  <si>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</si>
  <si>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</si>
  <si>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</si>
  <si>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</si>
  <si>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</si>
  <si>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</si>
  <si>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</si>
  <si>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</si>
  <si>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</si>
  <si>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</si>
  <si>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</si>
  <si>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</si>
  <si>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</si>
  <si>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</si>
  <si>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</si>
  <si>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</si>
  <si>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</si>
  <si>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</si>
  <si>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</si>
  <si>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</si>
  <si>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</si>
  <si>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</si>
  <si>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</si>
  <si>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</si>
  <si>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</si>
  <si>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</si>
  <si>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</si>
  <si>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</si>
  <si>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</si>
  <si>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</si>
  <si>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</si>
  <si>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</si>
  <si>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</si>
  <si>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</si>
  <si>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</si>
  <si>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</si>
  <si>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</si>
  <si>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</si>
  <si>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</si>
  <si>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</si>
  <si>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</si>
  <si>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</si>
  <si>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</si>
  <si>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</si>
  <si>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</si>
  <si>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</si>
  <si>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</si>
  <si>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</si>
  <si>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</si>
  <si>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</si>
  <si>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</si>
  <si>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</si>
  <si>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</si>
  <si>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</si>
  <si>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</si>
  <si>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</si>
  <si>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</si>
  <si>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</si>
  <si>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</si>
  <si>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</si>
  <si>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</si>
  <si>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</si>
  <si>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</si>
  <si>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</si>
  <si>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</si>
  <si>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</si>
  <si>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</si>
  <si>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</si>
  <si>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</si>
  <si>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</si>
  <si>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</si>
  <si>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</si>
  <si>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</si>
  <si>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</si>
  <si>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</si>
  <si>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</si>
  <si>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</si>
  <si>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</si>
  <si>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</si>
  <si>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</si>
  <si>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</si>
  <si>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</si>
  <si>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</si>
  <si>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</si>
  <si>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</si>
  <si>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</si>
  <si>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</si>
  <si>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</si>
  <si>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</si>
  <si>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</si>
  <si>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</si>
  <si>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</si>
  <si>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</si>
  <si>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BREAKEVEN PRICE</t>
  </si>
  <si>
    <t>Chicken Litter</t>
  </si>
  <si>
    <t>Land Rent</t>
  </si>
  <si>
    <t>By A.R. Smith, N.B. Smith and W.D. Shurley, UGA Extension Economists, Department of Agricultural and Applied Economics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</si>
  <si>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</si>
  <si>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</si>
  <si>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</si>
  <si>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</si>
  <si>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</si>
  <si>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</si>
  <si>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</si>
  <si>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</si>
  <si>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</si>
  <si>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</si>
  <si>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</si>
  <si>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</si>
  <si>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</si>
  <si>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</si>
  <si>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</si>
  <si>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</si>
  <si>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</si>
  <si>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</si>
  <si>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</si>
  <si>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</si>
  <si>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</si>
  <si>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</si>
  <si>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</si>
  <si>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</si>
  <si>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</si>
  <si>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</si>
  <si>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</si>
  <si>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</si>
  <si>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</si>
  <si>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</si>
  <si>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</si>
  <si>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</si>
  <si>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</si>
  <si>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</si>
  <si>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</si>
  <si>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</si>
  <si>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</si>
  <si>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</si>
  <si>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</si>
  <si>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</si>
  <si>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</si>
  <si>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</si>
  <si>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</si>
  <si>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</si>
  <si>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</si>
  <si>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</si>
  <si>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</si>
  <si>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</si>
  <si>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SUMMARY OF SOUTH GEORGIA CROP ENTERPRISE ESTIMATES, 2015</t>
  </si>
  <si>
    <t>January 2015 Estimates</t>
  </si>
  <si>
    <t>*** Average of diesel and electric irrigation application costs.  Electric is estimated at $7/appl and diesel is estimated at $13.70/appl when diesel cost $2.90/gal.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</si>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</sst>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433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10" xfId="0" applyFont="1" applyFill="1" applyBorder="1" applyAlignme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3" fontId="13" fillId="10" borderId="8" xfId="0" applyNumberFormat="1" applyFont="1" applyFill="1" applyBorder="1" applyAlignment="1" applyProtection="1">
      <alignment horizontal="right"/>
      <protection locked="0"/>
    </xf>
    <xf numFmtId="3" fontId="15" fillId="10" borderId="7" xfId="0" applyNumberFormat="1" applyFont="1" applyFill="1" applyBorder="1" applyAlignment="1" applyProtection="1">
      <alignment horizontal="left"/>
      <protection locked="0"/>
    </xf>
    <xf numFmtId="3" fontId="15" fillId="12" borderId="7" xfId="0" applyNumberFormat="1" applyFont="1" applyFill="1" applyBorder="1" applyAlignment="1" applyProtection="1">
      <alignment horizontal="left"/>
      <protection locked="0"/>
    </xf>
    <xf numFmtId="3" fontId="13" fillId="10" borderId="7" xfId="0" applyNumberFormat="1" applyFont="1" applyFill="1" applyBorder="1" applyAlignment="1" applyProtection="1">
      <alignment horizontal="right"/>
      <protection locked="0"/>
    </xf>
    <xf numFmtId="3" fontId="15" fillId="10" borderId="16" xfId="0" applyNumberFormat="1" applyFont="1" applyFill="1" applyBorder="1" applyAlignment="1" applyProtection="1">
      <alignment horizontal="left"/>
      <protection locked="0"/>
    </xf>
    <xf numFmtId="3" fontId="15" fillId="10" borderId="20" xfId="0" applyNumberFormat="1" applyFont="1" applyFill="1" applyBorder="1" applyAlignment="1" applyProtection="1">
      <alignment horizontal="left"/>
      <protection locked="0"/>
    </xf>
    <xf numFmtId="0" fontId="11" fillId="8" borderId="19" xfId="0" applyFont="1" applyFill="1" applyBorder="1"/>
    <xf numFmtId="165" fontId="13" fillId="11" borderId="27" xfId="0" applyNumberFormat="1" applyFont="1" applyFill="1" applyBorder="1" applyAlignment="1" applyProtection="1">
      <alignment horizontal="right"/>
      <protection locked="0"/>
    </xf>
    <xf numFmtId="165" fontId="15" fillId="11" borderId="28" xfId="0" quotePrefix="1" applyNumberFormat="1" applyFont="1" applyFill="1" applyBorder="1" applyAlignment="1" applyProtection="1">
      <alignment horizontal="left"/>
      <protection locked="0"/>
    </xf>
    <xf numFmtId="165" fontId="15" fillId="12" borderId="28" xfId="0" quotePrefix="1" applyNumberFormat="1" applyFont="1" applyFill="1" applyBorder="1" applyAlignment="1" applyProtection="1">
      <alignment horizontal="left"/>
      <protection locked="0"/>
    </xf>
    <xf numFmtId="165" fontId="13" fillId="11" borderId="28" xfId="0" applyNumberFormat="1" applyFont="1" applyFill="1" applyBorder="1" applyAlignment="1" applyProtection="1">
      <alignment horizontal="right"/>
      <protection locked="0"/>
    </xf>
    <xf numFmtId="165" fontId="15" fillId="11" borderId="29" xfId="0" quotePrefix="1" applyNumberFormat="1" applyFont="1" applyFill="1" applyBorder="1" applyAlignment="1" applyProtection="1">
      <alignment horizontal="left"/>
      <protection locked="0"/>
    </xf>
    <xf numFmtId="165" fontId="15" fillId="11" borderId="30" xfId="0" quotePrefix="1" applyNumberFormat="1" applyFont="1" applyFill="1" applyBorder="1" applyAlignment="1" applyProtection="1">
      <alignment horizontal="left"/>
      <protection locked="0"/>
    </xf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49" fontId="13" fillId="3" borderId="20" xfId="0" applyNumberFormat="1" applyFont="1" applyFill="1" applyBorder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3" fillId="10" borderId="8" xfId="0" applyNumberFormat="1" applyFont="1" applyFill="1" applyBorder="1" applyAlignment="1" applyProtection="1">
      <protection locked="0"/>
    </xf>
    <xf numFmtId="165" fontId="13" fillId="11" borderId="27" xfId="0" applyNumberFormat="1" applyFont="1" applyFill="1" applyBorder="1" applyAlignment="1" applyProtection="1">
      <protection locked="0"/>
    </xf>
    <xf numFmtId="165" fontId="13" fillId="11" borderId="28" xfId="0" applyNumberFormat="1" applyFont="1" applyFill="1" applyBorder="1" applyAlignment="1" applyProtection="1">
      <alignment horizontal="right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3" fontId="15" fillId="12" borderId="60" xfId="0" applyNumberFormat="1" applyFont="1" applyFill="1" applyBorder="1" applyAlignment="1" applyProtection="1">
      <alignment horizontal="left"/>
      <protection locked="0"/>
    </xf>
    <xf numFmtId="165" fontId="15" fillId="12" borderId="65" xfId="0" quotePrefix="1" applyNumberFormat="1" applyFont="1" applyFill="1" applyBorder="1" applyAlignment="1" applyProtection="1">
      <alignment horizontal="left"/>
      <protection locked="0"/>
    </xf>
    <xf numFmtId="3" fontId="13" fillId="12" borderId="59" xfId="0" applyNumberFormat="1" applyFont="1" applyFill="1" applyBorder="1" applyAlignment="1" applyProtection="1">
      <alignment horizontal="right"/>
    </xf>
    <xf numFmtId="166" fontId="13" fillId="12" borderId="64" xfId="0" applyNumberFormat="1" applyFont="1" applyFill="1" applyBorder="1" applyAlignment="1" applyProtection="1">
      <alignment horizontal="right"/>
    </xf>
    <xf numFmtId="3" fontId="15" fillId="10" borderId="60" xfId="0" applyNumberFormat="1" applyFont="1" applyFill="1" applyBorder="1" applyAlignment="1" applyProtection="1">
      <alignment horizontal="left"/>
      <protection locked="0"/>
    </xf>
    <xf numFmtId="165" fontId="15" fillId="11" borderId="65" xfId="0" quotePrefix="1" applyNumberFormat="1" applyFont="1" applyFill="1" applyBorder="1" applyAlignment="1" applyProtection="1">
      <alignment horizontal="left"/>
      <protection locked="0"/>
    </xf>
    <xf numFmtId="3" fontId="13" fillId="10" borderId="59" xfId="0" applyNumberFormat="1" applyFont="1" applyFill="1" applyBorder="1" applyAlignment="1" applyProtection="1">
      <alignment horizontal="right"/>
      <protection locked="0"/>
    </xf>
    <xf numFmtId="165" fontId="13" fillId="11" borderId="64" xfId="0" applyNumberFormat="1" applyFont="1" applyFill="1" applyBorder="1" applyAlignment="1" applyProtection="1">
      <alignment horizontal="right"/>
      <protection locked="0"/>
    </xf>
    <xf numFmtId="165" fontId="13" fillId="11" borderId="64" xfId="0" applyNumberFormat="1" applyFont="1" applyFill="1" applyBorder="1" applyAlignment="1" applyProtection="1">
      <alignment horizontal="right"/>
    </xf>
    <xf numFmtId="0" fontId="13" fillId="12" borderId="61" xfId="0" applyFont="1" applyFill="1" applyBorder="1" applyAlignment="1">
      <alignment horizontal="center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169" fontId="14" fillId="8" borderId="0" xfId="0" applyNumberFormat="1" applyFont="1" applyFill="1"/>
    <xf numFmtId="165" fontId="15" fillId="2" borderId="68" xfId="2" applyNumberFormat="1" applyFont="1" applyFill="1" applyBorder="1" applyAlignment="1">
      <alignment horizontal="left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166" fontId="13" fillId="8" borderId="69" xfId="0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75" xfId="0" applyNumberFormat="1" applyFont="1" applyFill="1" applyBorder="1" applyAlignment="1">
      <alignment horizontal="center"/>
    </xf>
    <xf numFmtId="0" fontId="14" fillId="8" borderId="60" xfId="0" applyFont="1" applyFill="1" applyBorder="1" applyAlignment="1">
      <alignment horizontal="center"/>
    </xf>
    <xf numFmtId="0" fontId="14" fillId="8" borderId="76" xfId="0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73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0" fontId="14" fillId="8" borderId="8" xfId="0" applyFont="1" applyFill="1" applyBorder="1" applyAlignment="1">
      <alignment horizontal="center"/>
    </xf>
    <xf numFmtId="0" fontId="13" fillId="12" borderId="50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12" borderId="51" xfId="0" applyFont="1" applyFill="1" applyBorder="1" applyAlignment="1">
      <alignment horizontal="center"/>
    </xf>
    <xf numFmtId="0" fontId="13" fillId="8" borderId="63" xfId="0" applyFont="1" applyFill="1" applyBorder="1" applyAlignment="1">
      <alignment horizontal="center"/>
    </xf>
    <xf numFmtId="0" fontId="13" fillId="8" borderId="73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74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13" fillId="12" borderId="62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2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4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6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323.03957733482423</c:v>
                </c:pt>
                <c:pt idx="1">
                  <c:v>335.80553478163273</c:v>
                </c:pt>
                <c:pt idx="2">
                  <c:v>348.57149222844123</c:v>
                </c:pt>
                <c:pt idx="3">
                  <c:v>361.33744967524979</c:v>
                </c:pt>
                <c:pt idx="4">
                  <c:v>374.10340712205829</c:v>
                </c:pt>
                <c:pt idx="5">
                  <c:v>386.86936456886684</c:v>
                </c:pt>
                <c:pt idx="6">
                  <c:v>399.63532201567529</c:v>
                </c:pt>
                <c:pt idx="7">
                  <c:v>412.4012794624839</c:v>
                </c:pt>
                <c:pt idx="8">
                  <c:v>425.1672369092924</c:v>
                </c:pt>
                <c:pt idx="9">
                  <c:v>437.9331943561009</c:v>
                </c:pt>
                <c:pt idx="10">
                  <c:v>450.6991518029094</c:v>
                </c:pt>
                <c:pt idx="11">
                  <c:v>463.46510924971795</c:v>
                </c:pt>
                <c:pt idx="12">
                  <c:v>476.23106669652651</c:v>
                </c:pt>
                <c:pt idx="13">
                  <c:v>488.99702414333507</c:v>
                </c:pt>
                <c:pt idx="14">
                  <c:v>501.76298159014357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306.62150493426913</c:v>
                </c:pt>
                <c:pt idx="1">
                  <c:v>317.6509166989751</c:v>
                </c:pt>
                <c:pt idx="2">
                  <c:v>328.68032846368095</c:v>
                </c:pt>
                <c:pt idx="3">
                  <c:v>339.70974022838686</c:v>
                </c:pt>
                <c:pt idx="4">
                  <c:v>350.73915199309272</c:v>
                </c:pt>
                <c:pt idx="5">
                  <c:v>361.76856375779857</c:v>
                </c:pt>
                <c:pt idx="6">
                  <c:v>372.79797552250449</c:v>
                </c:pt>
                <c:pt idx="7">
                  <c:v>383.8273872872104</c:v>
                </c:pt>
                <c:pt idx="8">
                  <c:v>394.85679905191631</c:v>
                </c:pt>
                <c:pt idx="9">
                  <c:v>405.88621081662211</c:v>
                </c:pt>
                <c:pt idx="10">
                  <c:v>416.91562258132802</c:v>
                </c:pt>
                <c:pt idx="11">
                  <c:v>427.94503434603394</c:v>
                </c:pt>
                <c:pt idx="12">
                  <c:v>438.97444611073979</c:v>
                </c:pt>
                <c:pt idx="13">
                  <c:v>450.00385787544582</c:v>
                </c:pt>
                <c:pt idx="14">
                  <c:v>461.03326964015167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29408"/>
        <c:axId val="149331328"/>
      </c:lineChart>
      <c:catAx>
        <c:axId val="14932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158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331328"/>
        <c:crosses val="autoZero"/>
        <c:auto val="1"/>
        <c:lblAlgn val="ctr"/>
        <c:lblOffset val="100"/>
        <c:noMultiLvlLbl val="0"/>
      </c:catAx>
      <c:valAx>
        <c:axId val="14933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4772416268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32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63"/>
          <c:y val="0.70227875361733627"/>
          <c:w val="0.21994215940398754"/>
          <c:h val="9.631446710186863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11"/>
          <c:y val="5.89456119309589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0.55654366401096922</c:v>
                </c:pt>
                <c:pt idx="1">
                  <c:v>0.57404366401096918</c:v>
                </c:pt>
                <c:pt idx="2">
                  <c:v>0.59154366401096914</c:v>
                </c:pt>
                <c:pt idx="3">
                  <c:v>0.6090436640109691</c:v>
                </c:pt>
                <c:pt idx="4">
                  <c:v>0.62654366401096917</c:v>
                </c:pt>
                <c:pt idx="5">
                  <c:v>0.64404366401096902</c:v>
                </c:pt>
                <c:pt idx="6">
                  <c:v>0.66154366401096898</c:v>
                </c:pt>
                <c:pt idx="7">
                  <c:v>0.67904366401096905</c:v>
                </c:pt>
                <c:pt idx="8">
                  <c:v>0.69654366401096901</c:v>
                </c:pt>
                <c:pt idx="9">
                  <c:v>0.71404366401096908</c:v>
                </c:pt>
                <c:pt idx="10">
                  <c:v>0.73154366401096893</c:v>
                </c:pt>
                <c:pt idx="11">
                  <c:v>0.74904366401096889</c:v>
                </c:pt>
                <c:pt idx="12">
                  <c:v>0.76654366401096896</c:v>
                </c:pt>
                <c:pt idx="13">
                  <c:v>0.78404366401096892</c:v>
                </c:pt>
                <c:pt idx="14">
                  <c:v>0.80154366401096899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0.57280248301565651</c:v>
                </c:pt>
                <c:pt idx="1">
                  <c:v>0.58680248301565641</c:v>
                </c:pt>
                <c:pt idx="2">
                  <c:v>0.60080248301565642</c:v>
                </c:pt>
                <c:pt idx="3">
                  <c:v>0.61480248301565643</c:v>
                </c:pt>
                <c:pt idx="4">
                  <c:v>0.62880248301565644</c:v>
                </c:pt>
                <c:pt idx="5">
                  <c:v>0.64280248301565646</c:v>
                </c:pt>
                <c:pt idx="6">
                  <c:v>0.65680248301565647</c:v>
                </c:pt>
                <c:pt idx="7">
                  <c:v>0.67080248301565648</c:v>
                </c:pt>
                <c:pt idx="8">
                  <c:v>0.68480248301565638</c:v>
                </c:pt>
                <c:pt idx="9">
                  <c:v>0.69880248301565639</c:v>
                </c:pt>
                <c:pt idx="10">
                  <c:v>0.7128024830156563</c:v>
                </c:pt>
                <c:pt idx="11">
                  <c:v>0.72680248301565631</c:v>
                </c:pt>
                <c:pt idx="12">
                  <c:v>0.74080248301565632</c:v>
                </c:pt>
                <c:pt idx="13">
                  <c:v>0.75480248301565633</c:v>
                </c:pt>
                <c:pt idx="14">
                  <c:v>0.76880248301565624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30560"/>
        <c:axId val="150932480"/>
      </c:lineChart>
      <c:catAx>
        <c:axId val="1509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932480"/>
        <c:crosses val="autoZero"/>
        <c:auto val="1"/>
        <c:lblAlgn val="ctr"/>
        <c:lblOffset val="100"/>
        <c:noMultiLvlLbl val="0"/>
      </c:catAx>
      <c:valAx>
        <c:axId val="15093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266E-5"/>
              <c:y val="0.3002439264628345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93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089"/>
          <c:y val="0.68816070176658384"/>
          <c:w val="0.22504918805348831"/>
          <c:h val="0.1023130717931781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26"/>
          <c:y val="8.59469985606637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339.14698023404264</c:v>
                </c:pt>
                <c:pt idx="1">
                  <c:v>348.08315044680853</c:v>
                </c:pt>
                <c:pt idx="2">
                  <c:v>357.01932065957453</c:v>
                </c:pt>
                <c:pt idx="3">
                  <c:v>365.95549087234048</c:v>
                </c:pt>
                <c:pt idx="4">
                  <c:v>374.89166108510642</c:v>
                </c:pt>
                <c:pt idx="5">
                  <c:v>383.82783129787236</c:v>
                </c:pt>
                <c:pt idx="6">
                  <c:v>392.76400151063831</c:v>
                </c:pt>
                <c:pt idx="7">
                  <c:v>401.70017172340425</c:v>
                </c:pt>
                <c:pt idx="8">
                  <c:v>410.6363419361702</c:v>
                </c:pt>
                <c:pt idx="9">
                  <c:v>419.57251214893614</c:v>
                </c:pt>
                <c:pt idx="10">
                  <c:v>428.50868236170209</c:v>
                </c:pt>
                <c:pt idx="11">
                  <c:v>437.44485257446809</c:v>
                </c:pt>
                <c:pt idx="12">
                  <c:v>446.38102278723403</c:v>
                </c:pt>
                <c:pt idx="13">
                  <c:v>455.31719300000003</c:v>
                </c:pt>
                <c:pt idx="14">
                  <c:v>464.25336321276592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327.71083567647065</c:v>
                </c:pt>
                <c:pt idx="1">
                  <c:v>333.8873062647059</c:v>
                </c:pt>
                <c:pt idx="2">
                  <c:v>340.0637768529412</c:v>
                </c:pt>
                <c:pt idx="3">
                  <c:v>346.24024744117656</c:v>
                </c:pt>
                <c:pt idx="4">
                  <c:v>352.41671802941181</c:v>
                </c:pt>
                <c:pt idx="5">
                  <c:v>358.59318861764706</c:v>
                </c:pt>
                <c:pt idx="6">
                  <c:v>364.76965920588236</c:v>
                </c:pt>
                <c:pt idx="7">
                  <c:v>370.94612979411761</c:v>
                </c:pt>
                <c:pt idx="8">
                  <c:v>377.12260038235291</c:v>
                </c:pt>
                <c:pt idx="9">
                  <c:v>383.29907097058822</c:v>
                </c:pt>
                <c:pt idx="10">
                  <c:v>389.47554155882352</c:v>
                </c:pt>
                <c:pt idx="11">
                  <c:v>395.65201214705883</c:v>
                </c:pt>
                <c:pt idx="12">
                  <c:v>401.82848273529407</c:v>
                </c:pt>
                <c:pt idx="13">
                  <c:v>408.00495332352938</c:v>
                </c:pt>
                <c:pt idx="14">
                  <c:v>414.18142391176474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83808"/>
        <c:axId val="150985728"/>
      </c:lineChart>
      <c:catAx>
        <c:axId val="15098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985728"/>
        <c:crosses val="autoZero"/>
        <c:auto val="1"/>
        <c:lblAlgn val="ctr"/>
        <c:lblOffset val="100"/>
        <c:noMultiLvlLbl val="0"/>
      </c:catAx>
      <c:valAx>
        <c:axId val="15098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98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41"/>
          <c:y val="0.69685998927553416"/>
          <c:w val="0.22183152479074442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4.0328718927500002</c:v>
                </c:pt>
                <c:pt idx="1">
                  <c:v>4.1378718927500007</c:v>
                </c:pt>
                <c:pt idx="2">
                  <c:v>4.2428718927500002</c:v>
                </c:pt>
                <c:pt idx="3">
                  <c:v>4.3478718927500006</c:v>
                </c:pt>
                <c:pt idx="4">
                  <c:v>4.4528718927500002</c:v>
                </c:pt>
                <c:pt idx="5">
                  <c:v>4.5578718927499997</c:v>
                </c:pt>
                <c:pt idx="6">
                  <c:v>4.6628718927500001</c:v>
                </c:pt>
                <c:pt idx="7">
                  <c:v>4.7678718927499997</c:v>
                </c:pt>
                <c:pt idx="8">
                  <c:v>4.8728718927500001</c:v>
                </c:pt>
                <c:pt idx="9">
                  <c:v>4.9778718927499996</c:v>
                </c:pt>
                <c:pt idx="10">
                  <c:v>5.0828718927499992</c:v>
                </c:pt>
                <c:pt idx="11">
                  <c:v>5.1878718927499996</c:v>
                </c:pt>
                <c:pt idx="12">
                  <c:v>5.2928718927499991</c:v>
                </c:pt>
                <c:pt idx="13">
                  <c:v>5.3978718927499996</c:v>
                </c:pt>
                <c:pt idx="14">
                  <c:v>5.5028718927499991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3.7638379366176471</c:v>
                </c:pt>
                <c:pt idx="1">
                  <c:v>3.8873673483823521</c:v>
                </c:pt>
                <c:pt idx="2">
                  <c:v>4.010896760147058</c:v>
                </c:pt>
                <c:pt idx="3">
                  <c:v>4.1344261719117643</c:v>
                </c:pt>
                <c:pt idx="4">
                  <c:v>4.2579555836764698</c:v>
                </c:pt>
                <c:pt idx="5">
                  <c:v>4.3814849954411761</c:v>
                </c:pt>
                <c:pt idx="6">
                  <c:v>4.5050144072058815</c:v>
                </c:pt>
                <c:pt idx="7">
                  <c:v>4.6285438189705879</c:v>
                </c:pt>
                <c:pt idx="8">
                  <c:v>4.7520732307352933</c:v>
                </c:pt>
                <c:pt idx="9">
                  <c:v>4.8756026424999996</c:v>
                </c:pt>
                <c:pt idx="10">
                  <c:v>4.9991320542647042</c:v>
                </c:pt>
                <c:pt idx="11">
                  <c:v>5.1226614660294096</c:v>
                </c:pt>
                <c:pt idx="12">
                  <c:v>5.246190877794116</c:v>
                </c:pt>
                <c:pt idx="13">
                  <c:v>5.3697202895588214</c:v>
                </c:pt>
                <c:pt idx="14">
                  <c:v>5.4932497013235277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82112"/>
        <c:axId val="151084032"/>
      </c:lineChart>
      <c:catAx>
        <c:axId val="1510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294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084032"/>
        <c:crosses val="autoZero"/>
        <c:auto val="1"/>
        <c:lblAlgn val="ctr"/>
        <c:lblOffset val="100"/>
        <c:noMultiLvlLbl val="0"/>
      </c:catAx>
      <c:valAx>
        <c:axId val="151084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678122852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0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937300755860454"/>
          <c:w val="0.19930891247289739"/>
          <c:h val="0.102313090691989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315.58644258349449</c:v>
                </c:pt>
                <c:pt idx="1">
                  <c:v>328.35240003030304</c:v>
                </c:pt>
                <c:pt idx="2">
                  <c:v>341.11835747711154</c:v>
                </c:pt>
                <c:pt idx="3">
                  <c:v>353.8843149239201</c:v>
                </c:pt>
                <c:pt idx="4">
                  <c:v>366.6502723707286</c:v>
                </c:pt>
                <c:pt idx="5">
                  <c:v>379.4162298175371</c:v>
                </c:pt>
                <c:pt idx="6">
                  <c:v>392.1821872643456</c:v>
                </c:pt>
                <c:pt idx="7">
                  <c:v>404.94814471115421</c:v>
                </c:pt>
                <c:pt idx="8">
                  <c:v>417.71410215796266</c:v>
                </c:pt>
                <c:pt idx="9">
                  <c:v>430.48005960477121</c:v>
                </c:pt>
                <c:pt idx="10">
                  <c:v>443.24601705157971</c:v>
                </c:pt>
                <c:pt idx="11">
                  <c:v>456.01197449838821</c:v>
                </c:pt>
                <c:pt idx="12">
                  <c:v>468.77793194519671</c:v>
                </c:pt>
                <c:pt idx="13">
                  <c:v>481.54388939200527</c:v>
                </c:pt>
                <c:pt idx="14">
                  <c:v>494.30984683881383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296.25154563279841</c:v>
                </c:pt>
                <c:pt idx="1">
                  <c:v>307.28095739750427</c:v>
                </c:pt>
                <c:pt idx="2">
                  <c:v>318.31036916221018</c:v>
                </c:pt>
                <c:pt idx="3">
                  <c:v>329.33978092691609</c:v>
                </c:pt>
                <c:pt idx="4">
                  <c:v>340.369192691622</c:v>
                </c:pt>
                <c:pt idx="5">
                  <c:v>351.39860445632786</c:v>
                </c:pt>
                <c:pt idx="6">
                  <c:v>362.42801622103377</c:v>
                </c:pt>
                <c:pt idx="7">
                  <c:v>373.45742798573974</c:v>
                </c:pt>
                <c:pt idx="8">
                  <c:v>384.4868397504456</c:v>
                </c:pt>
                <c:pt idx="9">
                  <c:v>395.51625151515145</c:v>
                </c:pt>
                <c:pt idx="10">
                  <c:v>406.54566327985737</c:v>
                </c:pt>
                <c:pt idx="11">
                  <c:v>417.57507504456328</c:v>
                </c:pt>
                <c:pt idx="12">
                  <c:v>428.60448680926908</c:v>
                </c:pt>
                <c:pt idx="13">
                  <c:v>439.63389857397499</c:v>
                </c:pt>
                <c:pt idx="14">
                  <c:v>450.6633103386809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39840"/>
        <c:axId val="151141760"/>
      </c:lineChart>
      <c:catAx>
        <c:axId val="15113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158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141760"/>
        <c:crosses val="autoZero"/>
        <c:auto val="1"/>
        <c:lblAlgn val="ctr"/>
        <c:lblOffset val="100"/>
        <c:noMultiLvlLbl val="0"/>
      </c:catAx>
      <c:valAx>
        <c:axId val="151141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4772416268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13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469"/>
          <c:y val="0.70512775646633918"/>
          <c:w val="0.21994215940398754"/>
          <c:h val="9.631446710186863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3.2396027239794982</c:v>
                </c:pt>
                <c:pt idx="1">
                  <c:v>3.4601909592736164</c:v>
                </c:pt>
                <c:pt idx="2">
                  <c:v>3.6807791945677342</c:v>
                </c:pt>
                <c:pt idx="3">
                  <c:v>3.9013674298618519</c:v>
                </c:pt>
                <c:pt idx="4">
                  <c:v>4.1219556651559701</c:v>
                </c:pt>
                <c:pt idx="5">
                  <c:v>4.3425439004500879</c:v>
                </c:pt>
                <c:pt idx="6">
                  <c:v>4.5631321357442056</c:v>
                </c:pt>
                <c:pt idx="7">
                  <c:v>4.7837203710383234</c:v>
                </c:pt>
                <c:pt idx="8">
                  <c:v>5.0043086063324411</c:v>
                </c:pt>
                <c:pt idx="9">
                  <c:v>5.2248968416265589</c:v>
                </c:pt>
                <c:pt idx="10">
                  <c:v>5.4454850769206766</c:v>
                </c:pt>
                <c:pt idx="11">
                  <c:v>5.6660733122147944</c:v>
                </c:pt>
                <c:pt idx="12">
                  <c:v>5.8866615475089121</c:v>
                </c:pt>
                <c:pt idx="13">
                  <c:v>6.1072497828030308</c:v>
                </c:pt>
                <c:pt idx="14">
                  <c:v>6.3278380180971476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3.8006395753560605</c:v>
                </c:pt>
                <c:pt idx="1">
                  <c:v>3.9506395753560604</c:v>
                </c:pt>
                <c:pt idx="2">
                  <c:v>4.1006395753560607</c:v>
                </c:pt>
                <c:pt idx="3">
                  <c:v>4.2506395753560611</c:v>
                </c:pt>
                <c:pt idx="4">
                  <c:v>4.4006395753560614</c:v>
                </c:pt>
                <c:pt idx="5">
                  <c:v>4.5506395753560609</c:v>
                </c:pt>
                <c:pt idx="6">
                  <c:v>4.7006395753560613</c:v>
                </c:pt>
                <c:pt idx="7">
                  <c:v>4.8506395753560616</c:v>
                </c:pt>
                <c:pt idx="8">
                  <c:v>5.000639575356062</c:v>
                </c:pt>
                <c:pt idx="9">
                  <c:v>5.1506395753560614</c:v>
                </c:pt>
                <c:pt idx="10">
                  <c:v>5.3006395753560618</c:v>
                </c:pt>
                <c:pt idx="11">
                  <c:v>5.4506395753560613</c:v>
                </c:pt>
                <c:pt idx="12">
                  <c:v>5.6006395753560625</c:v>
                </c:pt>
                <c:pt idx="13">
                  <c:v>5.7506395753560628</c:v>
                </c:pt>
                <c:pt idx="14">
                  <c:v>5.9006395753560632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8992"/>
        <c:axId val="151190912"/>
      </c:lineChart>
      <c:catAx>
        <c:axId val="15118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1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190912"/>
        <c:crosses val="autoZero"/>
        <c:auto val="1"/>
        <c:lblAlgn val="ctr"/>
        <c:lblOffset val="100"/>
        <c:noMultiLvlLbl val="0"/>
      </c:catAx>
      <c:valAx>
        <c:axId val="151190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18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71092639116041967"/>
          <c:w val="0.19930891247289739"/>
          <c:h val="8.544965069944421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335"/>
          <c:y val="8.60960121920243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6.4014710641919121</c:v>
                </c:pt>
                <c:pt idx="1">
                  <c:v>7.0264710641919139</c:v>
                </c:pt>
                <c:pt idx="2">
                  <c:v>7.6514710641919139</c:v>
                </c:pt>
                <c:pt idx="3">
                  <c:v>8.2764710641919148</c:v>
                </c:pt>
                <c:pt idx="4">
                  <c:v>8.9014710641919166</c:v>
                </c:pt>
                <c:pt idx="5">
                  <c:v>9.5264710641919166</c:v>
                </c:pt>
                <c:pt idx="6">
                  <c:v>10.151471064191917</c:v>
                </c:pt>
                <c:pt idx="7">
                  <c:v>10.776471064191918</c:v>
                </c:pt>
                <c:pt idx="8">
                  <c:v>11.401471064191918</c:v>
                </c:pt>
                <c:pt idx="9">
                  <c:v>12.026471064191918</c:v>
                </c:pt>
                <c:pt idx="10">
                  <c:v>12.651471064191918</c:v>
                </c:pt>
                <c:pt idx="11">
                  <c:v>13.276471064191918</c:v>
                </c:pt>
                <c:pt idx="12">
                  <c:v>13.901471064191918</c:v>
                </c:pt>
                <c:pt idx="13">
                  <c:v>14.526471064191922</c:v>
                </c:pt>
                <c:pt idx="14">
                  <c:v>15.151471064191922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6.8192943586868671</c:v>
                </c:pt>
                <c:pt idx="1">
                  <c:v>7.3192943586868671</c:v>
                </c:pt>
                <c:pt idx="2">
                  <c:v>7.8192943586868671</c:v>
                </c:pt>
                <c:pt idx="3">
                  <c:v>8.3192943586868697</c:v>
                </c:pt>
                <c:pt idx="4">
                  <c:v>8.8192943586868697</c:v>
                </c:pt>
                <c:pt idx="5">
                  <c:v>9.3192943586868697</c:v>
                </c:pt>
                <c:pt idx="6">
                  <c:v>9.8192943586868697</c:v>
                </c:pt>
                <c:pt idx="7">
                  <c:v>10.319294358686872</c:v>
                </c:pt>
                <c:pt idx="8">
                  <c:v>10.819294358686872</c:v>
                </c:pt>
                <c:pt idx="9">
                  <c:v>11.319294358686872</c:v>
                </c:pt>
                <c:pt idx="10">
                  <c:v>11.819294358686872</c:v>
                </c:pt>
                <c:pt idx="11">
                  <c:v>12.319294358686872</c:v>
                </c:pt>
                <c:pt idx="12">
                  <c:v>12.819294358686873</c:v>
                </c:pt>
                <c:pt idx="13">
                  <c:v>13.319294358686873</c:v>
                </c:pt>
                <c:pt idx="14">
                  <c:v>13.819294358686875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38144"/>
        <c:axId val="151240064"/>
      </c:lineChart>
      <c:catAx>
        <c:axId val="15123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1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240064"/>
        <c:crosses val="autoZero"/>
        <c:auto val="1"/>
        <c:lblAlgn val="ctr"/>
        <c:lblOffset val="100"/>
        <c:noMultiLvlLbl val="0"/>
      </c:catAx>
      <c:valAx>
        <c:axId val="151240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23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29"/>
          <c:y val="0.6916795078034601"/>
          <c:w val="0.21861397760062601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1983"/>
          <c:y val="8.6096026789754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0.60149649656565674</c:v>
                </c:pt>
                <c:pt idx="1">
                  <c:v>0.62416316323232335</c:v>
                </c:pt>
                <c:pt idx="2">
                  <c:v>0.64682982989899007</c:v>
                </c:pt>
                <c:pt idx="3">
                  <c:v>0.66949649656565668</c:v>
                </c:pt>
                <c:pt idx="4">
                  <c:v>0.6921631632323233</c:v>
                </c:pt>
                <c:pt idx="5">
                  <c:v>0.71482982989899002</c:v>
                </c:pt>
                <c:pt idx="6">
                  <c:v>0.73749649656565663</c:v>
                </c:pt>
                <c:pt idx="7">
                  <c:v>0.76016316323232336</c:v>
                </c:pt>
                <c:pt idx="8">
                  <c:v>0.78282982989898997</c:v>
                </c:pt>
                <c:pt idx="9">
                  <c:v>0.80549649656565669</c:v>
                </c:pt>
                <c:pt idx="10">
                  <c:v>0.82816316323232331</c:v>
                </c:pt>
                <c:pt idx="11">
                  <c:v>0.85082982989899003</c:v>
                </c:pt>
                <c:pt idx="12">
                  <c:v>0.87349649656565664</c:v>
                </c:pt>
                <c:pt idx="13">
                  <c:v>0.89616316323232337</c:v>
                </c:pt>
                <c:pt idx="14">
                  <c:v>0.91882982989898998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0.55322654994065634</c:v>
                </c:pt>
                <c:pt idx="1">
                  <c:v>0.57280988327398974</c:v>
                </c:pt>
                <c:pt idx="2">
                  <c:v>0.59239321660732303</c:v>
                </c:pt>
                <c:pt idx="3">
                  <c:v>0.61197654994065642</c:v>
                </c:pt>
                <c:pt idx="4">
                  <c:v>0.63155988327398971</c:v>
                </c:pt>
                <c:pt idx="5">
                  <c:v>0.65114321660732311</c:v>
                </c:pt>
                <c:pt idx="6">
                  <c:v>0.67072654994065639</c:v>
                </c:pt>
                <c:pt idx="7">
                  <c:v>0.69030988327398968</c:v>
                </c:pt>
                <c:pt idx="8">
                  <c:v>0.70989321660732307</c:v>
                </c:pt>
                <c:pt idx="9">
                  <c:v>0.72947654994065636</c:v>
                </c:pt>
                <c:pt idx="10">
                  <c:v>0.74905988327398976</c:v>
                </c:pt>
                <c:pt idx="11">
                  <c:v>0.76864321660732304</c:v>
                </c:pt>
                <c:pt idx="12">
                  <c:v>0.78822654994065644</c:v>
                </c:pt>
                <c:pt idx="13">
                  <c:v>0.80780988327398973</c:v>
                </c:pt>
                <c:pt idx="14">
                  <c:v>0.82739321660732301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4032"/>
        <c:axId val="150125952"/>
      </c:lineChart>
      <c:catAx>
        <c:axId val="15012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125952"/>
        <c:crosses val="autoZero"/>
        <c:auto val="1"/>
        <c:lblAlgn val="ctr"/>
        <c:lblOffset val="100"/>
        <c:noMultiLvlLbl val="0"/>
      </c:catAx>
      <c:valAx>
        <c:axId val="150125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6872115123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12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034"/>
          <c:y val="0.69854308082179384"/>
          <c:w val="0.21057028740972597"/>
          <c:h val="0.102312878993574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3.9145718113235302</c:v>
                </c:pt>
                <c:pt idx="1">
                  <c:v>4.1145718113235299</c:v>
                </c:pt>
                <c:pt idx="2">
                  <c:v>4.3145718113235301</c:v>
                </c:pt>
                <c:pt idx="3">
                  <c:v>4.5145718113235302</c:v>
                </c:pt>
                <c:pt idx="4">
                  <c:v>4.7145718113235304</c:v>
                </c:pt>
                <c:pt idx="5">
                  <c:v>4.9145718113235306</c:v>
                </c:pt>
                <c:pt idx="6">
                  <c:v>5.1145718113235299</c:v>
                </c:pt>
                <c:pt idx="7">
                  <c:v>5.3145718113235301</c:v>
                </c:pt>
                <c:pt idx="8">
                  <c:v>5.5145718113235302</c:v>
                </c:pt>
                <c:pt idx="9">
                  <c:v>5.7145718113235304</c:v>
                </c:pt>
                <c:pt idx="10">
                  <c:v>5.9145718113235306</c:v>
                </c:pt>
                <c:pt idx="11">
                  <c:v>6.1145718113235299</c:v>
                </c:pt>
                <c:pt idx="12">
                  <c:v>6.3145718113235301</c:v>
                </c:pt>
                <c:pt idx="13">
                  <c:v>6.5145718113235302</c:v>
                </c:pt>
                <c:pt idx="14">
                  <c:v>6.7145718113235304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3.9699988749999999</c:v>
                </c:pt>
                <c:pt idx="1">
                  <c:v>4.0874988749999996</c:v>
                </c:pt>
                <c:pt idx="2">
                  <c:v>4.2049988750000002</c:v>
                </c:pt>
                <c:pt idx="3">
                  <c:v>4.322498875</c:v>
                </c:pt>
                <c:pt idx="4">
                  <c:v>4.4399988749999997</c:v>
                </c:pt>
                <c:pt idx="5">
                  <c:v>4.5574988750000003</c:v>
                </c:pt>
                <c:pt idx="6">
                  <c:v>4.674998875</c:v>
                </c:pt>
                <c:pt idx="7">
                  <c:v>4.7924988749999997</c:v>
                </c:pt>
                <c:pt idx="8">
                  <c:v>4.9099988750000003</c:v>
                </c:pt>
                <c:pt idx="9">
                  <c:v>5.027498875</c:v>
                </c:pt>
                <c:pt idx="10">
                  <c:v>5.1449988749999997</c:v>
                </c:pt>
                <c:pt idx="11">
                  <c:v>5.2624988750000004</c:v>
                </c:pt>
                <c:pt idx="12">
                  <c:v>5.3799988750000001</c:v>
                </c:pt>
                <c:pt idx="13">
                  <c:v>5.4974988749999998</c:v>
                </c:pt>
                <c:pt idx="14">
                  <c:v>5.6149988750000004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3536"/>
        <c:axId val="151555456"/>
      </c:lineChart>
      <c:catAx>
        <c:axId val="15155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555456"/>
        <c:crosses val="autoZero"/>
        <c:auto val="1"/>
        <c:lblAlgn val="ctr"/>
        <c:lblOffset val="100"/>
        <c:noMultiLvlLbl val="0"/>
      </c:catAx>
      <c:valAx>
        <c:axId val="151555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9134763327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55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102"/>
          <c:y val="0.69125780613630194"/>
          <c:w val="0.19770020051841344"/>
          <c:h val="0.1023131052583944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8.3138834783333362</c:v>
                </c:pt>
                <c:pt idx="1">
                  <c:v>8.8805501450000026</c:v>
                </c:pt>
                <c:pt idx="2">
                  <c:v>9.447216811666669</c:v>
                </c:pt>
                <c:pt idx="3">
                  <c:v>10.013883478333335</c:v>
                </c:pt>
                <c:pt idx="4">
                  <c:v>10.580550145000002</c:v>
                </c:pt>
                <c:pt idx="5">
                  <c:v>11.14721681166667</c:v>
                </c:pt>
                <c:pt idx="6">
                  <c:v>11.713883478333337</c:v>
                </c:pt>
                <c:pt idx="7">
                  <c:v>12.280550145000003</c:v>
                </c:pt>
                <c:pt idx="8">
                  <c:v>12.847216811666669</c:v>
                </c:pt>
                <c:pt idx="9">
                  <c:v>13.413883478333336</c:v>
                </c:pt>
                <c:pt idx="10">
                  <c:v>13.980550145000002</c:v>
                </c:pt>
                <c:pt idx="11">
                  <c:v>14.547216811666669</c:v>
                </c:pt>
                <c:pt idx="12">
                  <c:v>15.113883478333337</c:v>
                </c:pt>
                <c:pt idx="13">
                  <c:v>15.680550145000003</c:v>
                </c:pt>
                <c:pt idx="14">
                  <c:v>16.247216811666668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7.3838253574999992</c:v>
                </c:pt>
                <c:pt idx="1">
                  <c:v>7.7754920241666658</c:v>
                </c:pt>
                <c:pt idx="2">
                  <c:v>8.1671586908333325</c:v>
                </c:pt>
                <c:pt idx="3">
                  <c:v>8.5588253575</c:v>
                </c:pt>
                <c:pt idx="4">
                  <c:v>8.9504920241666657</c:v>
                </c:pt>
                <c:pt idx="5">
                  <c:v>9.3421586908333332</c:v>
                </c:pt>
                <c:pt idx="6">
                  <c:v>9.7338253574999989</c:v>
                </c:pt>
                <c:pt idx="7">
                  <c:v>10.125492024166666</c:v>
                </c:pt>
                <c:pt idx="8">
                  <c:v>10.517158690833332</c:v>
                </c:pt>
                <c:pt idx="9">
                  <c:v>10.9088253575</c:v>
                </c:pt>
                <c:pt idx="10">
                  <c:v>11.300492024166665</c:v>
                </c:pt>
                <c:pt idx="11">
                  <c:v>11.692158690833333</c:v>
                </c:pt>
                <c:pt idx="12">
                  <c:v>12.083825357499999</c:v>
                </c:pt>
                <c:pt idx="13">
                  <c:v>12.475492024166666</c:v>
                </c:pt>
                <c:pt idx="14">
                  <c:v>12.867158690833332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18080"/>
        <c:axId val="151920000"/>
      </c:lineChart>
      <c:catAx>
        <c:axId val="1519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20000"/>
        <c:crosses val="autoZero"/>
        <c:auto val="1"/>
        <c:lblAlgn val="ctr"/>
        <c:lblOffset val="100"/>
        <c:noMultiLvlLbl val="0"/>
      </c:catAx>
      <c:valAx>
        <c:axId val="151920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1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132"/>
          <c:y val="0.69171851377250215"/>
          <c:w val="0.2250490862555224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0.42489340410732307</c:v>
                </c:pt>
                <c:pt idx="1">
                  <c:v>0.44989340410732304</c:v>
                </c:pt>
                <c:pt idx="2">
                  <c:v>0.47489340410732306</c:v>
                </c:pt>
                <c:pt idx="3">
                  <c:v>0.49989340410732308</c:v>
                </c:pt>
                <c:pt idx="4">
                  <c:v>0.5248934041073231</c:v>
                </c:pt>
                <c:pt idx="5">
                  <c:v>0.54989340410732301</c:v>
                </c:pt>
                <c:pt idx="6">
                  <c:v>0.57489340410732293</c:v>
                </c:pt>
                <c:pt idx="7">
                  <c:v>0.59989340410732306</c:v>
                </c:pt>
                <c:pt idx="8">
                  <c:v>0.62489340410732319</c:v>
                </c:pt>
                <c:pt idx="9">
                  <c:v>0.6498934041073231</c:v>
                </c:pt>
                <c:pt idx="10">
                  <c:v>0.67489340410732324</c:v>
                </c:pt>
                <c:pt idx="11">
                  <c:v>0.69989340410732326</c:v>
                </c:pt>
                <c:pt idx="12">
                  <c:v>0.72489340410732339</c:v>
                </c:pt>
                <c:pt idx="13">
                  <c:v>0.74989340410732341</c:v>
                </c:pt>
                <c:pt idx="14">
                  <c:v>0.77489340410732344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0.52051169128232333</c:v>
                </c:pt>
                <c:pt idx="1">
                  <c:v>0.53751169128232335</c:v>
                </c:pt>
                <c:pt idx="2">
                  <c:v>0.55451169128232325</c:v>
                </c:pt>
                <c:pt idx="3">
                  <c:v>0.57151169128232326</c:v>
                </c:pt>
                <c:pt idx="4">
                  <c:v>0.58851169128232328</c:v>
                </c:pt>
                <c:pt idx="5">
                  <c:v>0.60551169128232329</c:v>
                </c:pt>
                <c:pt idx="6">
                  <c:v>0.6225116912823232</c:v>
                </c:pt>
                <c:pt idx="7">
                  <c:v>0.63951169128232332</c:v>
                </c:pt>
                <c:pt idx="8">
                  <c:v>0.65651169128232334</c:v>
                </c:pt>
                <c:pt idx="9">
                  <c:v>0.67351169128232335</c:v>
                </c:pt>
                <c:pt idx="10">
                  <c:v>0.69051169128232348</c:v>
                </c:pt>
                <c:pt idx="11">
                  <c:v>0.7075116912823235</c:v>
                </c:pt>
                <c:pt idx="12">
                  <c:v>0.72451169128232351</c:v>
                </c:pt>
                <c:pt idx="13">
                  <c:v>0.74151169128232353</c:v>
                </c:pt>
                <c:pt idx="14">
                  <c:v>0.75851169128232354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83616"/>
        <c:axId val="151985536"/>
      </c:lineChart>
      <c:catAx>
        <c:axId val="1519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85536"/>
        <c:crosses val="autoZero"/>
        <c:auto val="1"/>
        <c:lblAlgn val="ctr"/>
        <c:lblOffset val="100"/>
        <c:noMultiLvlLbl val="0"/>
      </c:catAx>
      <c:valAx>
        <c:axId val="151985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874245196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742647840661709"/>
          <c:w val="0.23952788510131884"/>
          <c:h val="0.10231318100162856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3.3420513217736167</c:v>
                </c:pt>
                <c:pt idx="1">
                  <c:v>3.5626395570677354</c:v>
                </c:pt>
                <c:pt idx="2">
                  <c:v>3.7832277923618527</c:v>
                </c:pt>
                <c:pt idx="3">
                  <c:v>4.0038160276559704</c:v>
                </c:pt>
                <c:pt idx="4">
                  <c:v>4.2244042629500891</c:v>
                </c:pt>
                <c:pt idx="5">
                  <c:v>4.4449924982442068</c:v>
                </c:pt>
                <c:pt idx="6">
                  <c:v>4.6655807335383246</c:v>
                </c:pt>
                <c:pt idx="7">
                  <c:v>4.8861689688324423</c:v>
                </c:pt>
                <c:pt idx="8">
                  <c:v>5.1067572041265601</c:v>
                </c:pt>
                <c:pt idx="9">
                  <c:v>5.3273454394206778</c:v>
                </c:pt>
                <c:pt idx="10">
                  <c:v>5.5479336747147956</c:v>
                </c:pt>
                <c:pt idx="11">
                  <c:v>5.7685219100089133</c:v>
                </c:pt>
                <c:pt idx="12">
                  <c:v>5.9891101453030311</c:v>
                </c:pt>
                <c:pt idx="13">
                  <c:v>6.2096983805971497</c:v>
                </c:pt>
                <c:pt idx="14">
                  <c:v>6.4302866158912675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3.8436099086841846</c:v>
                </c:pt>
                <c:pt idx="1">
                  <c:v>3.9936099086841845</c:v>
                </c:pt>
                <c:pt idx="2">
                  <c:v>4.1436099086841844</c:v>
                </c:pt>
                <c:pt idx="3">
                  <c:v>4.2936099086841857</c:v>
                </c:pt>
                <c:pt idx="4">
                  <c:v>4.4436099086841852</c:v>
                </c:pt>
                <c:pt idx="5">
                  <c:v>4.5936099086841855</c:v>
                </c:pt>
                <c:pt idx="6">
                  <c:v>4.743609908684185</c:v>
                </c:pt>
                <c:pt idx="7">
                  <c:v>4.8936099086841862</c:v>
                </c:pt>
                <c:pt idx="8">
                  <c:v>5.0436099086841857</c:v>
                </c:pt>
                <c:pt idx="9">
                  <c:v>5.193609908684186</c:v>
                </c:pt>
                <c:pt idx="10">
                  <c:v>5.3436099086841864</c:v>
                </c:pt>
                <c:pt idx="11">
                  <c:v>5.4936099086841867</c:v>
                </c:pt>
                <c:pt idx="12">
                  <c:v>5.6436099086841862</c:v>
                </c:pt>
                <c:pt idx="13">
                  <c:v>5.7936099086841866</c:v>
                </c:pt>
                <c:pt idx="14">
                  <c:v>5.943609908684186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47616"/>
        <c:axId val="150449536"/>
      </c:lineChart>
      <c:catAx>
        <c:axId val="15044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1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49536"/>
        <c:crosses val="autoZero"/>
        <c:auto val="1"/>
        <c:lblAlgn val="ctr"/>
        <c:lblOffset val="100"/>
        <c:noMultiLvlLbl val="0"/>
      </c:catAx>
      <c:valAx>
        <c:axId val="150449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4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71949170165292509"/>
          <c:w val="0.19930891247289739"/>
          <c:h val="8.544965069944421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264.46818085106383</c:v>
                </c:pt>
                <c:pt idx="1">
                  <c:v>277.23413829787233</c:v>
                </c:pt>
                <c:pt idx="2">
                  <c:v>290.00009574468083</c:v>
                </c:pt>
                <c:pt idx="3">
                  <c:v>302.76605319148933</c:v>
                </c:pt>
                <c:pt idx="4">
                  <c:v>315.53201063829789</c:v>
                </c:pt>
                <c:pt idx="5">
                  <c:v>328.29796808510639</c:v>
                </c:pt>
                <c:pt idx="6">
                  <c:v>341.06392553191483</c:v>
                </c:pt>
                <c:pt idx="7">
                  <c:v>353.82988297872345</c:v>
                </c:pt>
                <c:pt idx="8">
                  <c:v>366.59584042553195</c:v>
                </c:pt>
                <c:pt idx="9">
                  <c:v>379.3617978723405</c:v>
                </c:pt>
                <c:pt idx="10">
                  <c:v>392.127755319149</c:v>
                </c:pt>
                <c:pt idx="11">
                  <c:v>404.89371276595756</c:v>
                </c:pt>
                <c:pt idx="12">
                  <c:v>417.65967021276612</c:v>
                </c:pt>
                <c:pt idx="13">
                  <c:v>430.42562765957467</c:v>
                </c:pt>
                <c:pt idx="14">
                  <c:v>443.19158510638317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294.27140943382352</c:v>
                </c:pt>
                <c:pt idx="1">
                  <c:v>301.77140943382346</c:v>
                </c:pt>
                <c:pt idx="2">
                  <c:v>309.27140943382346</c:v>
                </c:pt>
                <c:pt idx="3">
                  <c:v>316.77140943382346</c:v>
                </c:pt>
                <c:pt idx="4">
                  <c:v>324.27140943382346</c:v>
                </c:pt>
                <c:pt idx="5">
                  <c:v>331.77140943382352</c:v>
                </c:pt>
                <c:pt idx="6">
                  <c:v>339.27140943382352</c:v>
                </c:pt>
                <c:pt idx="7">
                  <c:v>346.77140943382352</c:v>
                </c:pt>
                <c:pt idx="8">
                  <c:v>354.27140943382352</c:v>
                </c:pt>
                <c:pt idx="9">
                  <c:v>361.77140943382346</c:v>
                </c:pt>
                <c:pt idx="10">
                  <c:v>369.27140943382358</c:v>
                </c:pt>
                <c:pt idx="11">
                  <c:v>376.77140943382352</c:v>
                </c:pt>
                <c:pt idx="12">
                  <c:v>384.27140943382364</c:v>
                </c:pt>
                <c:pt idx="13">
                  <c:v>391.77140943382358</c:v>
                </c:pt>
                <c:pt idx="14">
                  <c:v>399.27140943382364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32768"/>
        <c:axId val="152034688"/>
      </c:lineChart>
      <c:catAx>
        <c:axId val="1520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034688"/>
        <c:crosses val="autoZero"/>
        <c:auto val="1"/>
        <c:lblAlgn val="ctr"/>
        <c:lblOffset val="100"/>
        <c:noMultiLvlLbl val="0"/>
      </c:catAx>
      <c:valAx>
        <c:axId val="152034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03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4"/>
          <c:y val="0.69715643609064992"/>
          <c:w val="0.22665778717958765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4.8171624408333322</c:v>
                </c:pt>
                <c:pt idx="1">
                  <c:v>5.3171624408333322</c:v>
                </c:pt>
                <c:pt idx="2">
                  <c:v>5.8171624408333322</c:v>
                </c:pt>
                <c:pt idx="3">
                  <c:v>6.3171624408333322</c:v>
                </c:pt>
                <c:pt idx="4">
                  <c:v>6.8171624408333322</c:v>
                </c:pt>
                <c:pt idx="5">
                  <c:v>7.3171624408333322</c:v>
                </c:pt>
                <c:pt idx="6">
                  <c:v>7.8171624408333305</c:v>
                </c:pt>
                <c:pt idx="7">
                  <c:v>8.3171624408333322</c:v>
                </c:pt>
                <c:pt idx="8">
                  <c:v>8.817162440833334</c:v>
                </c:pt>
                <c:pt idx="9">
                  <c:v>9.317162440833334</c:v>
                </c:pt>
                <c:pt idx="10">
                  <c:v>9.8171624408333358</c:v>
                </c:pt>
                <c:pt idx="11">
                  <c:v>10.317162440833336</c:v>
                </c:pt>
                <c:pt idx="12">
                  <c:v>10.817162440833338</c:v>
                </c:pt>
                <c:pt idx="13">
                  <c:v>11.317162440833339</c:v>
                </c:pt>
                <c:pt idx="14">
                  <c:v>11.817162440833339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6.2892633462500003</c:v>
                </c:pt>
                <c:pt idx="1">
                  <c:v>6.714263346250001</c:v>
                </c:pt>
                <c:pt idx="2">
                  <c:v>7.1392633462500008</c:v>
                </c:pt>
                <c:pt idx="3">
                  <c:v>7.5642633462500006</c:v>
                </c:pt>
                <c:pt idx="4">
                  <c:v>7.9892633462500005</c:v>
                </c:pt>
                <c:pt idx="5">
                  <c:v>8.4142633462500012</c:v>
                </c:pt>
                <c:pt idx="6">
                  <c:v>8.8392633462499983</c:v>
                </c:pt>
                <c:pt idx="7">
                  <c:v>9.2642633462500008</c:v>
                </c:pt>
                <c:pt idx="8">
                  <c:v>9.6892633462500033</c:v>
                </c:pt>
                <c:pt idx="9">
                  <c:v>10.114263346250002</c:v>
                </c:pt>
                <c:pt idx="10">
                  <c:v>10.539263346250005</c:v>
                </c:pt>
                <c:pt idx="11">
                  <c:v>10.964263346250004</c:v>
                </c:pt>
                <c:pt idx="12">
                  <c:v>11.389263346250006</c:v>
                </c:pt>
                <c:pt idx="13">
                  <c:v>11.814263346250007</c:v>
                </c:pt>
                <c:pt idx="14">
                  <c:v>12.239263346250008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97280"/>
        <c:axId val="151719936"/>
      </c:lineChart>
      <c:catAx>
        <c:axId val="15169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719936"/>
        <c:crosses val="autoZero"/>
        <c:auto val="1"/>
        <c:lblAlgn val="ctr"/>
        <c:lblOffset val="100"/>
        <c:noMultiLvlLbl val="0"/>
      </c:catAx>
      <c:valAx>
        <c:axId val="15171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69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656331668218885"/>
          <c:w val="0.24596286333773493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952"/>
          <c:y val="8.84161003053426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0.54903528206565666</c:v>
                </c:pt>
                <c:pt idx="1">
                  <c:v>0.56653528206565651</c:v>
                </c:pt>
                <c:pt idx="2">
                  <c:v>0.58403528206565658</c:v>
                </c:pt>
                <c:pt idx="3">
                  <c:v>0.60153528206565654</c:v>
                </c:pt>
                <c:pt idx="4">
                  <c:v>0.6190352820656565</c:v>
                </c:pt>
                <c:pt idx="5">
                  <c:v>0.63653528206565646</c:v>
                </c:pt>
                <c:pt idx="6">
                  <c:v>0.65403528206565642</c:v>
                </c:pt>
                <c:pt idx="7">
                  <c:v>0.67153528206565649</c:v>
                </c:pt>
                <c:pt idx="8">
                  <c:v>0.68903528206565645</c:v>
                </c:pt>
                <c:pt idx="9">
                  <c:v>0.70653528206565641</c:v>
                </c:pt>
                <c:pt idx="10">
                  <c:v>0.72403528206565637</c:v>
                </c:pt>
                <c:pt idx="11">
                  <c:v>0.74153528206565633</c:v>
                </c:pt>
                <c:pt idx="12">
                  <c:v>0.75903528206565629</c:v>
                </c:pt>
                <c:pt idx="13">
                  <c:v>0.77653528206565636</c:v>
                </c:pt>
                <c:pt idx="14">
                  <c:v>0.79403528206565632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0.56094115743232331</c:v>
                </c:pt>
                <c:pt idx="1">
                  <c:v>0.57494115743232332</c:v>
                </c:pt>
                <c:pt idx="2">
                  <c:v>0.58894115743232334</c:v>
                </c:pt>
                <c:pt idx="3">
                  <c:v>0.60294115743232335</c:v>
                </c:pt>
                <c:pt idx="4">
                  <c:v>0.61694115743232336</c:v>
                </c:pt>
                <c:pt idx="5">
                  <c:v>0.63094115743232326</c:v>
                </c:pt>
                <c:pt idx="6">
                  <c:v>0.64494115743232328</c:v>
                </c:pt>
                <c:pt idx="7">
                  <c:v>0.65894115743232329</c:v>
                </c:pt>
                <c:pt idx="8">
                  <c:v>0.6729411574323233</c:v>
                </c:pt>
                <c:pt idx="9">
                  <c:v>0.68694115743232331</c:v>
                </c:pt>
                <c:pt idx="10">
                  <c:v>0.70094115743232321</c:v>
                </c:pt>
                <c:pt idx="11">
                  <c:v>0.71494115743232323</c:v>
                </c:pt>
                <c:pt idx="12">
                  <c:v>0.72894115743232324</c:v>
                </c:pt>
                <c:pt idx="13">
                  <c:v>0.74294115743232325</c:v>
                </c:pt>
                <c:pt idx="14">
                  <c:v>0.75694115743232315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46432"/>
        <c:axId val="151760896"/>
      </c:lineChart>
      <c:catAx>
        <c:axId val="1517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760896"/>
        <c:crosses val="autoZero"/>
        <c:auto val="1"/>
        <c:lblAlgn val="ctr"/>
        <c:lblOffset val="100"/>
        <c:noMultiLvlLbl val="0"/>
      </c:catAx>
      <c:valAx>
        <c:axId val="15176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266E-5"/>
              <c:y val="0.3002439264628345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74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85"/>
          <c:y val="0.69699072384163907"/>
          <c:w val="0.22504918805348834"/>
          <c:h val="0.1023130717931781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7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327.85977810638309</c:v>
                </c:pt>
                <c:pt idx="1">
                  <c:v>336.79594831914898</c:v>
                </c:pt>
                <c:pt idx="2">
                  <c:v>345.73211853191498</c:v>
                </c:pt>
                <c:pt idx="3">
                  <c:v>354.66828874468092</c:v>
                </c:pt>
                <c:pt idx="4">
                  <c:v>363.60445895744687</c:v>
                </c:pt>
                <c:pt idx="5">
                  <c:v>372.54062917021281</c:v>
                </c:pt>
                <c:pt idx="6">
                  <c:v>381.47679938297875</c:v>
                </c:pt>
                <c:pt idx="7">
                  <c:v>390.41296959574476</c:v>
                </c:pt>
                <c:pt idx="8">
                  <c:v>399.34913980851064</c:v>
                </c:pt>
                <c:pt idx="9">
                  <c:v>408.28531002127659</c:v>
                </c:pt>
                <c:pt idx="10">
                  <c:v>417.22148023404253</c:v>
                </c:pt>
                <c:pt idx="11">
                  <c:v>426.15765044680847</c:v>
                </c:pt>
                <c:pt idx="12">
                  <c:v>435.09382065957442</c:v>
                </c:pt>
                <c:pt idx="13">
                  <c:v>444.02999087234036</c:v>
                </c:pt>
                <c:pt idx="14">
                  <c:v>452.96616108510631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312.10793861764705</c:v>
                </c:pt>
                <c:pt idx="1">
                  <c:v>318.28440920588235</c:v>
                </c:pt>
                <c:pt idx="2">
                  <c:v>324.46087979411766</c:v>
                </c:pt>
                <c:pt idx="3">
                  <c:v>330.63735038235296</c:v>
                </c:pt>
                <c:pt idx="4">
                  <c:v>336.81382097058827</c:v>
                </c:pt>
                <c:pt idx="5">
                  <c:v>342.99029155882351</c:v>
                </c:pt>
                <c:pt idx="6">
                  <c:v>349.16676214705876</c:v>
                </c:pt>
                <c:pt idx="7">
                  <c:v>355.34323273529407</c:v>
                </c:pt>
                <c:pt idx="8">
                  <c:v>361.51970332352931</c:v>
                </c:pt>
                <c:pt idx="9">
                  <c:v>367.69617391176467</c:v>
                </c:pt>
                <c:pt idx="10">
                  <c:v>373.87264449999992</c:v>
                </c:pt>
                <c:pt idx="11">
                  <c:v>380.04911508823517</c:v>
                </c:pt>
                <c:pt idx="12">
                  <c:v>386.22558567647047</c:v>
                </c:pt>
                <c:pt idx="13">
                  <c:v>392.40205626470578</c:v>
                </c:pt>
                <c:pt idx="14">
                  <c:v>398.57852685294102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52928"/>
        <c:axId val="151855104"/>
      </c:lineChart>
      <c:catAx>
        <c:axId val="15185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855104"/>
        <c:crosses val="autoZero"/>
        <c:auto val="1"/>
        <c:lblAlgn val="ctr"/>
        <c:lblOffset val="100"/>
        <c:noMultiLvlLbl val="0"/>
      </c:catAx>
      <c:valAx>
        <c:axId val="15185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85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884"/>
          <c:y val="0.69972737278807895"/>
          <c:w val="0.22183152479074442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3.9448512677500016</c:v>
                </c:pt>
                <c:pt idx="1">
                  <c:v>4.0498512677500011</c:v>
                </c:pt>
                <c:pt idx="2">
                  <c:v>4.1548512677500007</c:v>
                </c:pt>
                <c:pt idx="3">
                  <c:v>4.2598512677500011</c:v>
                </c:pt>
                <c:pt idx="4">
                  <c:v>4.3648512677500007</c:v>
                </c:pt>
                <c:pt idx="5">
                  <c:v>4.4698512677500002</c:v>
                </c:pt>
                <c:pt idx="6">
                  <c:v>4.5748512677500006</c:v>
                </c:pt>
                <c:pt idx="7">
                  <c:v>4.6798512677500002</c:v>
                </c:pt>
                <c:pt idx="8">
                  <c:v>4.7848512677500006</c:v>
                </c:pt>
                <c:pt idx="9">
                  <c:v>4.8898512677500001</c:v>
                </c:pt>
                <c:pt idx="10">
                  <c:v>4.9948512677499997</c:v>
                </c:pt>
                <c:pt idx="11">
                  <c:v>5.0998512677500001</c:v>
                </c:pt>
                <c:pt idx="12">
                  <c:v>5.2048512677500005</c:v>
                </c:pt>
                <c:pt idx="13">
                  <c:v>5.30985126775</c:v>
                </c:pt>
                <c:pt idx="14">
                  <c:v>5.4148512677500005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3.5567305836764715</c:v>
                </c:pt>
                <c:pt idx="1">
                  <c:v>3.680259995441177</c:v>
                </c:pt>
                <c:pt idx="2">
                  <c:v>3.8037894072058829</c:v>
                </c:pt>
                <c:pt idx="3">
                  <c:v>3.9273188189705888</c:v>
                </c:pt>
                <c:pt idx="4">
                  <c:v>4.0508482307352942</c:v>
                </c:pt>
                <c:pt idx="5">
                  <c:v>4.1743776424999997</c:v>
                </c:pt>
                <c:pt idx="6">
                  <c:v>4.297907054264706</c:v>
                </c:pt>
                <c:pt idx="7">
                  <c:v>4.4214364660294114</c:v>
                </c:pt>
                <c:pt idx="8">
                  <c:v>4.5449658777941178</c:v>
                </c:pt>
                <c:pt idx="9">
                  <c:v>4.6684952895588232</c:v>
                </c:pt>
                <c:pt idx="10">
                  <c:v>4.7920247013235286</c:v>
                </c:pt>
                <c:pt idx="11">
                  <c:v>4.9155541130882341</c:v>
                </c:pt>
                <c:pt idx="12">
                  <c:v>5.0390835248529404</c:v>
                </c:pt>
                <c:pt idx="13">
                  <c:v>5.1626129366176459</c:v>
                </c:pt>
                <c:pt idx="14">
                  <c:v>5.2861423483823522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97984"/>
        <c:axId val="151908352"/>
      </c:lineChart>
      <c:catAx>
        <c:axId val="15189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294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08352"/>
        <c:crosses val="autoZero"/>
        <c:auto val="1"/>
        <c:lblAlgn val="ctr"/>
        <c:lblOffset val="100"/>
        <c:noMultiLvlLbl val="0"/>
      </c:catAx>
      <c:valAx>
        <c:axId val="15190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678122852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89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937300755860454"/>
          <c:w val="0.19930891247289739"/>
          <c:h val="0.102313090691989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335"/>
          <c:y val="1.72192024384048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6.104937924608584</c:v>
                </c:pt>
                <c:pt idx="1">
                  <c:v>6.7299379246085866</c:v>
                </c:pt>
                <c:pt idx="2">
                  <c:v>7.3549379246085866</c:v>
                </c:pt>
                <c:pt idx="3">
                  <c:v>7.9799379246085866</c:v>
                </c:pt>
                <c:pt idx="4">
                  <c:v>8.6049379246085884</c:v>
                </c:pt>
                <c:pt idx="5">
                  <c:v>9.2299379246085884</c:v>
                </c:pt>
                <c:pt idx="6">
                  <c:v>9.8549379246085884</c:v>
                </c:pt>
                <c:pt idx="7">
                  <c:v>10.479937924608588</c:v>
                </c:pt>
                <c:pt idx="8">
                  <c:v>11.104937924608588</c:v>
                </c:pt>
                <c:pt idx="9">
                  <c:v>11.729937924608588</c:v>
                </c:pt>
                <c:pt idx="10">
                  <c:v>12.354937924608588</c:v>
                </c:pt>
                <c:pt idx="11">
                  <c:v>12.979937924608588</c:v>
                </c:pt>
                <c:pt idx="12">
                  <c:v>13.604937924608588</c:v>
                </c:pt>
                <c:pt idx="13">
                  <c:v>14.229937924608594</c:v>
                </c:pt>
                <c:pt idx="14">
                  <c:v>14.854937924608594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6.6691267197806159</c:v>
                </c:pt>
                <c:pt idx="1">
                  <c:v>7.1691267197806159</c:v>
                </c:pt>
                <c:pt idx="2">
                  <c:v>7.6691267197806159</c:v>
                </c:pt>
                <c:pt idx="3">
                  <c:v>8.1691267197806177</c:v>
                </c:pt>
                <c:pt idx="4">
                  <c:v>8.6691267197806177</c:v>
                </c:pt>
                <c:pt idx="5">
                  <c:v>9.1691267197806177</c:v>
                </c:pt>
                <c:pt idx="6">
                  <c:v>9.6691267197806177</c:v>
                </c:pt>
                <c:pt idx="7">
                  <c:v>10.169126719780619</c:v>
                </c:pt>
                <c:pt idx="8">
                  <c:v>10.669126719780619</c:v>
                </c:pt>
                <c:pt idx="9">
                  <c:v>11.169126719780619</c:v>
                </c:pt>
                <c:pt idx="10">
                  <c:v>11.669126719780619</c:v>
                </c:pt>
                <c:pt idx="11">
                  <c:v>12.169126719780619</c:v>
                </c:pt>
                <c:pt idx="12">
                  <c:v>12.669126719780621</c:v>
                </c:pt>
                <c:pt idx="13">
                  <c:v>13.169126719780621</c:v>
                </c:pt>
                <c:pt idx="14">
                  <c:v>13.669126719780623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88576"/>
        <c:axId val="150490496"/>
      </c:lineChart>
      <c:catAx>
        <c:axId val="15048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1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90496"/>
        <c:crosses val="autoZero"/>
        <c:auto val="1"/>
        <c:lblAlgn val="ctr"/>
        <c:lblOffset val="100"/>
        <c:noMultiLvlLbl val="0"/>
      </c:catAx>
      <c:valAx>
        <c:axId val="150490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8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45"/>
          <c:y val="0.68307735726582564"/>
          <c:w val="0.21861397760062604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1983"/>
          <c:y val="1.72192053579509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0.57799125548232311</c:v>
                </c:pt>
                <c:pt idx="1">
                  <c:v>0.60065792214898972</c:v>
                </c:pt>
                <c:pt idx="2">
                  <c:v>0.62332458881565644</c:v>
                </c:pt>
                <c:pt idx="3">
                  <c:v>0.64599125548232306</c:v>
                </c:pt>
                <c:pt idx="4">
                  <c:v>0.66865792214898978</c:v>
                </c:pt>
                <c:pt idx="5">
                  <c:v>0.6913245888156565</c:v>
                </c:pt>
                <c:pt idx="6">
                  <c:v>0.71399125548232312</c:v>
                </c:pt>
                <c:pt idx="7">
                  <c:v>0.73665792214898984</c:v>
                </c:pt>
                <c:pt idx="8">
                  <c:v>0.75932458881565645</c:v>
                </c:pt>
                <c:pt idx="9">
                  <c:v>0.78199125548232318</c:v>
                </c:pt>
                <c:pt idx="10">
                  <c:v>0.80465792214898979</c:v>
                </c:pt>
                <c:pt idx="11">
                  <c:v>0.82732458881565651</c:v>
                </c:pt>
                <c:pt idx="12">
                  <c:v>0.84999125548232313</c:v>
                </c:pt>
                <c:pt idx="13">
                  <c:v>0.87265792214898985</c:v>
                </c:pt>
                <c:pt idx="14">
                  <c:v>0.89532458881565646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0.53863082771930237</c:v>
                </c:pt>
                <c:pt idx="1">
                  <c:v>0.55821416105263566</c:v>
                </c:pt>
                <c:pt idx="2">
                  <c:v>0.57779749438596906</c:v>
                </c:pt>
                <c:pt idx="3">
                  <c:v>0.59738082771930234</c:v>
                </c:pt>
                <c:pt idx="4">
                  <c:v>0.61696416105263574</c:v>
                </c:pt>
                <c:pt idx="5">
                  <c:v>0.63654749438596903</c:v>
                </c:pt>
                <c:pt idx="6">
                  <c:v>0.65613082771930242</c:v>
                </c:pt>
                <c:pt idx="7">
                  <c:v>0.67571416105263571</c:v>
                </c:pt>
                <c:pt idx="8">
                  <c:v>0.69529749438596899</c:v>
                </c:pt>
                <c:pt idx="9">
                  <c:v>0.71488082771930239</c:v>
                </c:pt>
                <c:pt idx="10">
                  <c:v>0.73446416105263568</c:v>
                </c:pt>
                <c:pt idx="11">
                  <c:v>0.75404749438596907</c:v>
                </c:pt>
                <c:pt idx="12">
                  <c:v>0.77363082771930236</c:v>
                </c:pt>
                <c:pt idx="13">
                  <c:v>0.79321416105263576</c:v>
                </c:pt>
                <c:pt idx="14">
                  <c:v>0.81279749438596904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03264"/>
        <c:axId val="150605184"/>
      </c:lineChart>
      <c:catAx>
        <c:axId val="1506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605184"/>
        <c:crosses val="autoZero"/>
        <c:auto val="1"/>
        <c:lblAlgn val="ctr"/>
        <c:lblOffset val="100"/>
        <c:noMultiLvlLbl val="0"/>
      </c:catAx>
      <c:valAx>
        <c:axId val="15060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6872115123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60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147"/>
          <c:y val="0.69279595438501218"/>
          <c:w val="0.21057028740972597"/>
          <c:h val="0.102312878993574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3.809621223088234</c:v>
                </c:pt>
                <c:pt idx="1">
                  <c:v>4.0096212230882342</c:v>
                </c:pt>
                <c:pt idx="2">
                  <c:v>4.2096212230882344</c:v>
                </c:pt>
                <c:pt idx="3">
                  <c:v>4.4096212230882346</c:v>
                </c:pt>
                <c:pt idx="4">
                  <c:v>4.6096212230882339</c:v>
                </c:pt>
                <c:pt idx="5">
                  <c:v>4.809621223088234</c:v>
                </c:pt>
                <c:pt idx="6">
                  <c:v>5.0096212230882342</c:v>
                </c:pt>
                <c:pt idx="7">
                  <c:v>5.2096212230882344</c:v>
                </c:pt>
                <c:pt idx="8">
                  <c:v>5.4096212230882346</c:v>
                </c:pt>
                <c:pt idx="9">
                  <c:v>5.6096212230882339</c:v>
                </c:pt>
                <c:pt idx="10">
                  <c:v>5.809621223088234</c:v>
                </c:pt>
                <c:pt idx="11">
                  <c:v>6.0096212230882342</c:v>
                </c:pt>
                <c:pt idx="12">
                  <c:v>6.2096212230882353</c:v>
                </c:pt>
                <c:pt idx="13">
                  <c:v>6.4096212230882346</c:v>
                </c:pt>
                <c:pt idx="14">
                  <c:v>6.6096212230882347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3.9253948750000003</c:v>
                </c:pt>
                <c:pt idx="1">
                  <c:v>4.042894875</c:v>
                </c:pt>
                <c:pt idx="2">
                  <c:v>4.1603948749999997</c:v>
                </c:pt>
                <c:pt idx="3">
                  <c:v>4.2778948750000003</c:v>
                </c:pt>
                <c:pt idx="4">
                  <c:v>4.395394875</c:v>
                </c:pt>
                <c:pt idx="5">
                  <c:v>4.5128948749999998</c:v>
                </c:pt>
                <c:pt idx="6">
                  <c:v>4.6303948750000004</c:v>
                </c:pt>
                <c:pt idx="7">
                  <c:v>4.7478948750000001</c:v>
                </c:pt>
                <c:pt idx="8">
                  <c:v>4.8653948749999998</c:v>
                </c:pt>
                <c:pt idx="9">
                  <c:v>4.9828948750000004</c:v>
                </c:pt>
                <c:pt idx="10">
                  <c:v>5.1003948750000001</c:v>
                </c:pt>
                <c:pt idx="11">
                  <c:v>5.2178948749999998</c:v>
                </c:pt>
                <c:pt idx="12">
                  <c:v>5.3353948749999995</c:v>
                </c:pt>
                <c:pt idx="13">
                  <c:v>5.4528948749999993</c:v>
                </c:pt>
                <c:pt idx="14">
                  <c:v>5.5703948749999999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64704"/>
        <c:axId val="150666624"/>
      </c:lineChart>
      <c:catAx>
        <c:axId val="1506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666624"/>
        <c:crosses val="autoZero"/>
        <c:auto val="1"/>
        <c:lblAlgn val="ctr"/>
        <c:lblOffset val="100"/>
        <c:noMultiLvlLbl val="0"/>
      </c:catAx>
      <c:valAx>
        <c:axId val="150666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9134763327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66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15"/>
          <c:y val="0.70275205900986515"/>
          <c:w val="0.19770020051841344"/>
          <c:h val="0.1023131052583944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7.4297193116666671</c:v>
                </c:pt>
                <c:pt idx="1">
                  <c:v>7.9963859783333335</c:v>
                </c:pt>
                <c:pt idx="2">
                  <c:v>8.5630526450000009</c:v>
                </c:pt>
                <c:pt idx="3">
                  <c:v>9.1297193116666673</c:v>
                </c:pt>
                <c:pt idx="4">
                  <c:v>9.6963859783333337</c:v>
                </c:pt>
                <c:pt idx="5">
                  <c:v>10.263052645</c:v>
                </c:pt>
                <c:pt idx="6">
                  <c:v>10.829719311666668</c:v>
                </c:pt>
                <c:pt idx="7">
                  <c:v>11.396385978333335</c:v>
                </c:pt>
                <c:pt idx="8">
                  <c:v>11.963052645000001</c:v>
                </c:pt>
                <c:pt idx="9">
                  <c:v>12.529719311666668</c:v>
                </c:pt>
                <c:pt idx="10">
                  <c:v>13.096385978333334</c:v>
                </c:pt>
                <c:pt idx="11">
                  <c:v>13.663052645</c:v>
                </c:pt>
                <c:pt idx="12">
                  <c:v>14.229719311666667</c:v>
                </c:pt>
                <c:pt idx="13">
                  <c:v>14.796385978333335</c:v>
                </c:pt>
                <c:pt idx="14">
                  <c:v>15.363052645000002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6.9417432741666669</c:v>
                </c:pt>
                <c:pt idx="1">
                  <c:v>7.3334099408333335</c:v>
                </c:pt>
                <c:pt idx="2">
                  <c:v>7.7250766075000001</c:v>
                </c:pt>
                <c:pt idx="3">
                  <c:v>8.1167432741666676</c:v>
                </c:pt>
                <c:pt idx="4">
                  <c:v>8.5084099408333334</c:v>
                </c:pt>
                <c:pt idx="5">
                  <c:v>8.9000766075000008</c:v>
                </c:pt>
                <c:pt idx="6">
                  <c:v>9.2917432741666666</c:v>
                </c:pt>
                <c:pt idx="7">
                  <c:v>9.6834099408333341</c:v>
                </c:pt>
                <c:pt idx="8">
                  <c:v>10.0750766075</c:v>
                </c:pt>
                <c:pt idx="9">
                  <c:v>10.466743274166667</c:v>
                </c:pt>
                <c:pt idx="10">
                  <c:v>10.858409940833333</c:v>
                </c:pt>
                <c:pt idx="11">
                  <c:v>11.2500766075</c:v>
                </c:pt>
                <c:pt idx="12">
                  <c:v>11.641743274166666</c:v>
                </c:pt>
                <c:pt idx="13">
                  <c:v>12.033409940833334</c:v>
                </c:pt>
                <c:pt idx="14">
                  <c:v>12.425076607499999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09760"/>
        <c:axId val="150711680"/>
      </c:lineChart>
      <c:catAx>
        <c:axId val="1507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711680"/>
        <c:crosses val="autoZero"/>
        <c:auto val="1"/>
        <c:lblAlgn val="ctr"/>
        <c:lblOffset val="100"/>
        <c:noMultiLvlLbl val="0"/>
      </c:catAx>
      <c:valAx>
        <c:axId val="150711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70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132"/>
          <c:y val="0.68600830677749858"/>
          <c:w val="0.2250490862555224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0.41773168188596904</c:v>
                </c:pt>
                <c:pt idx="1">
                  <c:v>0.44273168188596901</c:v>
                </c:pt>
                <c:pt idx="2">
                  <c:v>0.46773168188596903</c:v>
                </c:pt>
                <c:pt idx="3">
                  <c:v>0.49273168188596905</c:v>
                </c:pt>
                <c:pt idx="4">
                  <c:v>0.51773168188596908</c:v>
                </c:pt>
                <c:pt idx="5">
                  <c:v>0.54273168188596899</c:v>
                </c:pt>
                <c:pt idx="6">
                  <c:v>0.5677316818859689</c:v>
                </c:pt>
                <c:pt idx="7">
                  <c:v>0.59273168188596903</c:v>
                </c:pt>
                <c:pt idx="8">
                  <c:v>0.61773168188596916</c:v>
                </c:pt>
                <c:pt idx="9">
                  <c:v>0.64273168188596908</c:v>
                </c:pt>
                <c:pt idx="10">
                  <c:v>0.66773168188596921</c:v>
                </c:pt>
                <c:pt idx="11">
                  <c:v>0.69273168188596923</c:v>
                </c:pt>
                <c:pt idx="12">
                  <c:v>0.71773168188596936</c:v>
                </c:pt>
                <c:pt idx="13">
                  <c:v>0.74273168188596939</c:v>
                </c:pt>
                <c:pt idx="14">
                  <c:v>0.76773168188596941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0.5089008501989899</c:v>
                </c:pt>
                <c:pt idx="1">
                  <c:v>0.5259008501989898</c:v>
                </c:pt>
                <c:pt idx="2">
                  <c:v>0.54290085019898981</c:v>
                </c:pt>
                <c:pt idx="3">
                  <c:v>0.55990085019898983</c:v>
                </c:pt>
                <c:pt idx="4">
                  <c:v>0.57690085019898985</c:v>
                </c:pt>
                <c:pt idx="5">
                  <c:v>0.59390085019898986</c:v>
                </c:pt>
                <c:pt idx="6">
                  <c:v>0.61090085019898976</c:v>
                </c:pt>
                <c:pt idx="7">
                  <c:v>0.62790085019898989</c:v>
                </c:pt>
                <c:pt idx="8">
                  <c:v>0.64490085019898991</c:v>
                </c:pt>
                <c:pt idx="9">
                  <c:v>0.66190085019898992</c:v>
                </c:pt>
                <c:pt idx="10">
                  <c:v>0.67890085019899005</c:v>
                </c:pt>
                <c:pt idx="11">
                  <c:v>0.69590085019898995</c:v>
                </c:pt>
                <c:pt idx="12">
                  <c:v>0.71290085019899019</c:v>
                </c:pt>
                <c:pt idx="13">
                  <c:v>0.7299008501989902</c:v>
                </c:pt>
                <c:pt idx="14">
                  <c:v>0.74690085019899011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12864"/>
        <c:axId val="151014784"/>
      </c:lineChart>
      <c:catAx>
        <c:axId val="15101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014784"/>
        <c:crosses val="autoZero"/>
        <c:auto val="1"/>
        <c:lblAlgn val="ctr"/>
        <c:lblOffset val="100"/>
        <c:noMultiLvlLbl val="0"/>
      </c:catAx>
      <c:valAx>
        <c:axId val="151014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874245196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01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42"/>
          <c:y val="0.68036890911024184"/>
          <c:w val="0.23952788510131887"/>
          <c:h val="0.10231318100162856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268.26426595744681</c:v>
                </c:pt>
                <c:pt idx="1">
                  <c:v>281.03022340425531</c:v>
                </c:pt>
                <c:pt idx="2">
                  <c:v>293.79618085106387</c:v>
                </c:pt>
                <c:pt idx="3">
                  <c:v>306.56213829787231</c:v>
                </c:pt>
                <c:pt idx="4">
                  <c:v>319.32809574468087</c:v>
                </c:pt>
                <c:pt idx="5">
                  <c:v>332.09405319148937</c:v>
                </c:pt>
                <c:pt idx="6">
                  <c:v>344.86001063829781</c:v>
                </c:pt>
                <c:pt idx="7">
                  <c:v>357.62596808510636</c:v>
                </c:pt>
                <c:pt idx="8">
                  <c:v>370.39192553191492</c:v>
                </c:pt>
                <c:pt idx="9">
                  <c:v>383.15788297872342</c:v>
                </c:pt>
                <c:pt idx="10">
                  <c:v>395.92384042553203</c:v>
                </c:pt>
                <c:pt idx="11">
                  <c:v>408.68979787234048</c:v>
                </c:pt>
                <c:pt idx="12">
                  <c:v>421.45575531914909</c:v>
                </c:pt>
                <c:pt idx="13">
                  <c:v>434.22171276595759</c:v>
                </c:pt>
                <c:pt idx="14">
                  <c:v>446.9876702127662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299.51893884558825</c:v>
                </c:pt>
                <c:pt idx="1">
                  <c:v>307.01893884558825</c:v>
                </c:pt>
                <c:pt idx="2">
                  <c:v>314.51893884558825</c:v>
                </c:pt>
                <c:pt idx="3">
                  <c:v>322.01893884558825</c:v>
                </c:pt>
                <c:pt idx="4">
                  <c:v>329.51893884558825</c:v>
                </c:pt>
                <c:pt idx="5">
                  <c:v>337.01893884558825</c:v>
                </c:pt>
                <c:pt idx="6">
                  <c:v>344.51893884558825</c:v>
                </c:pt>
                <c:pt idx="7">
                  <c:v>352.01893884558825</c:v>
                </c:pt>
                <c:pt idx="8">
                  <c:v>359.51893884558831</c:v>
                </c:pt>
                <c:pt idx="9">
                  <c:v>367.01893884558837</c:v>
                </c:pt>
                <c:pt idx="10">
                  <c:v>374.51893884558842</c:v>
                </c:pt>
                <c:pt idx="11">
                  <c:v>382.01893884558842</c:v>
                </c:pt>
                <c:pt idx="12">
                  <c:v>389.51893884558842</c:v>
                </c:pt>
                <c:pt idx="13">
                  <c:v>397.01893884558837</c:v>
                </c:pt>
                <c:pt idx="14">
                  <c:v>404.51893884558837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28544"/>
        <c:axId val="150830464"/>
      </c:lineChart>
      <c:catAx>
        <c:axId val="15082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830464"/>
        <c:crosses val="autoZero"/>
        <c:auto val="1"/>
        <c:lblAlgn val="ctr"/>
        <c:lblOffset val="100"/>
        <c:noMultiLvlLbl val="0"/>
      </c:catAx>
      <c:valAx>
        <c:axId val="150830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82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4"/>
          <c:y val="0.69428905257810514"/>
          <c:w val="0.22665778717958765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4.5237603574999996</c:v>
                </c:pt>
                <c:pt idx="1">
                  <c:v>5.0237603574999996</c:v>
                </c:pt>
                <c:pt idx="2">
                  <c:v>5.5237603574999996</c:v>
                </c:pt>
                <c:pt idx="3">
                  <c:v>6.0237603574999996</c:v>
                </c:pt>
                <c:pt idx="4">
                  <c:v>6.5237603574999996</c:v>
                </c:pt>
                <c:pt idx="5">
                  <c:v>7.0237603574999996</c:v>
                </c:pt>
                <c:pt idx="6">
                  <c:v>7.5237603574999978</c:v>
                </c:pt>
                <c:pt idx="7">
                  <c:v>8.0237603575000005</c:v>
                </c:pt>
                <c:pt idx="8">
                  <c:v>8.5237603575000023</c:v>
                </c:pt>
                <c:pt idx="9">
                  <c:v>9.0237603575000023</c:v>
                </c:pt>
                <c:pt idx="10">
                  <c:v>9.523760357500004</c:v>
                </c:pt>
                <c:pt idx="11">
                  <c:v>10.023760357500004</c:v>
                </c:pt>
                <c:pt idx="12">
                  <c:v>10.523760357500006</c:v>
                </c:pt>
                <c:pt idx="13">
                  <c:v>11.023760357500008</c:v>
                </c:pt>
                <c:pt idx="14">
                  <c:v>11.523760357500008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5.7024591795833368</c:v>
                </c:pt>
                <c:pt idx="1">
                  <c:v>6.1274591795833366</c:v>
                </c:pt>
                <c:pt idx="2">
                  <c:v>6.5524591795833365</c:v>
                </c:pt>
                <c:pt idx="3">
                  <c:v>6.9774591795833363</c:v>
                </c:pt>
                <c:pt idx="4">
                  <c:v>7.4024591795833361</c:v>
                </c:pt>
                <c:pt idx="5">
                  <c:v>7.8274591795833368</c:v>
                </c:pt>
                <c:pt idx="6">
                  <c:v>8.2524591795833349</c:v>
                </c:pt>
                <c:pt idx="7">
                  <c:v>8.6774591795833356</c:v>
                </c:pt>
                <c:pt idx="8">
                  <c:v>9.1024591795833398</c:v>
                </c:pt>
                <c:pt idx="9">
                  <c:v>9.5274591795833388</c:v>
                </c:pt>
                <c:pt idx="10">
                  <c:v>9.9524591795833395</c:v>
                </c:pt>
                <c:pt idx="11">
                  <c:v>10.377459179583338</c:v>
                </c:pt>
                <c:pt idx="12">
                  <c:v>10.802459179583343</c:v>
                </c:pt>
                <c:pt idx="13">
                  <c:v>11.227459179583343</c:v>
                </c:pt>
                <c:pt idx="14">
                  <c:v>11.652459179583342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69120"/>
        <c:axId val="150871040"/>
      </c:lineChart>
      <c:catAx>
        <c:axId val="15086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871040"/>
        <c:crosses val="autoZero"/>
        <c:auto val="1"/>
        <c:lblAlgn val="ctr"/>
        <c:lblOffset val="100"/>
        <c:noMultiLvlLbl val="0"/>
      </c:catAx>
      <c:valAx>
        <c:axId val="15087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86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39"/>
          <c:y val="0.7080328507323681"/>
          <c:w val="0.24596286333773493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/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/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/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/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/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/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BC447"/>
  <sheetViews>
    <sheetView tabSelected="1" zoomScale="126" zoomScaleNormal="126" zoomScaleSheetLayoutView="87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85546875" defaultRowHeight="12.75" x14ac:dyDescent="0.2"/>
  <cols>
    <col min="1" max="1" width="33" style="96" customWidth="1"/>
    <col min="2" max="2" width="5.42578125" style="102" bestFit="1" customWidth="1"/>
    <col min="3" max="3" width="3" style="102" bestFit="1" customWidth="1"/>
    <col min="4" max="4" width="5.42578125" style="102" bestFit="1" customWidth="1"/>
    <col min="5" max="5" width="4" style="102" bestFit="1" customWidth="1"/>
    <col min="6" max="6" width="5.42578125" style="102" bestFit="1" customWidth="1"/>
    <col min="7" max="7" width="3.42578125" style="102" bestFit="1" customWidth="1"/>
    <col min="8" max="8" width="5.42578125" style="102" bestFit="1" customWidth="1"/>
    <col min="9" max="9" width="3.42578125" style="102" bestFit="1" customWidth="1"/>
    <col min="10" max="10" width="5.42578125" style="102" bestFit="1" customWidth="1"/>
    <col min="11" max="11" width="3.42578125" style="102" bestFit="1" customWidth="1"/>
    <col min="12" max="12" width="5.7109375" style="102" bestFit="1" customWidth="1"/>
    <col min="13" max="13" width="3.42578125" style="102" customWidth="1"/>
    <col min="14" max="14" width="5.42578125" style="102" bestFit="1" customWidth="1"/>
    <col min="15" max="15" width="3" style="102" bestFit="1" customWidth="1"/>
    <col min="16" max="16" width="5.42578125" style="102" bestFit="1" customWidth="1"/>
    <col min="17" max="17" width="4" style="102" bestFit="1" customWidth="1"/>
    <col min="18" max="18" width="5.42578125" style="102" bestFit="1" customWidth="1"/>
    <col min="19" max="19" width="3.42578125" style="102" bestFit="1" customWidth="1"/>
    <col min="20" max="20" width="5.42578125" style="102" bestFit="1" customWidth="1"/>
    <col min="21" max="21" width="3.42578125" style="102" bestFit="1" customWidth="1"/>
    <col min="22" max="22" width="5.42578125" style="102" bestFit="1" customWidth="1"/>
    <col min="23" max="23" width="3.42578125" style="102" bestFit="1" customWidth="1"/>
    <col min="24" max="24" width="5.42578125" style="102" bestFit="1" customWidth="1"/>
    <col min="25" max="25" width="3.42578125" style="102" customWidth="1"/>
    <col min="26" max="26" width="5.5703125" style="102" bestFit="1" customWidth="1"/>
    <col min="27" max="27" width="6.42578125" style="102" bestFit="1" customWidth="1"/>
    <col min="28" max="28" width="8.85546875" style="102"/>
    <col min="29" max="55" width="8.85546875" style="101"/>
    <col min="56" max="16384" width="8.85546875" style="102"/>
  </cols>
  <sheetData>
    <row r="1" spans="1:55" x14ac:dyDescent="0.2">
      <c r="A1" s="94" t="s">
        <v>177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01"/>
      <c r="AB1" s="101"/>
      <c r="BC1" s="102"/>
    </row>
    <row r="2" spans="1:55" s="96" customFormat="1" ht="12" x14ac:dyDescent="0.2">
      <c r="A2" s="97" t="s">
        <v>128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8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</row>
    <row r="3" spans="1:55" x14ac:dyDescent="0.2">
      <c r="A3" s="248" t="s">
        <v>178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74"/>
      <c r="Z3" s="101"/>
      <c r="AA3" s="101"/>
      <c r="AB3" s="101"/>
      <c r="BA3" s="102"/>
      <c r="BB3" s="102"/>
      <c r="BC3" s="102"/>
    </row>
    <row r="4" spans="1:55" x14ac:dyDescent="0.2">
      <c r="A4" s="192" t="s">
        <v>25</v>
      </c>
      <c r="B4" s="353" t="s">
        <v>0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4"/>
      <c r="N4" s="351" t="s">
        <v>1</v>
      </c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2"/>
      <c r="Z4" s="101"/>
      <c r="AA4" s="101"/>
      <c r="AB4" s="101"/>
      <c r="BB4" s="102"/>
      <c r="BC4" s="102"/>
    </row>
    <row r="5" spans="1:55" s="176" customFormat="1" x14ac:dyDescent="0.2">
      <c r="A5" s="193"/>
      <c r="B5" s="373"/>
      <c r="C5" s="359"/>
      <c r="D5" s="358"/>
      <c r="E5" s="358"/>
      <c r="F5" s="360"/>
      <c r="G5" s="360"/>
      <c r="H5" s="360"/>
      <c r="I5" s="360"/>
      <c r="J5" s="370" t="s">
        <v>23</v>
      </c>
      <c r="K5" s="366"/>
      <c r="L5" s="366" t="s">
        <v>22</v>
      </c>
      <c r="M5" s="367"/>
      <c r="N5" s="359"/>
      <c r="O5" s="359"/>
      <c r="P5" s="358"/>
      <c r="Q5" s="358"/>
      <c r="R5" s="360"/>
      <c r="S5" s="360"/>
      <c r="T5" s="360"/>
      <c r="U5" s="360"/>
      <c r="V5" s="360" t="s">
        <v>23</v>
      </c>
      <c r="W5" s="360"/>
      <c r="X5" s="359"/>
      <c r="Y5" s="361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</row>
    <row r="6" spans="1:55" s="176" customFormat="1" x14ac:dyDescent="0.2">
      <c r="A6" s="193"/>
      <c r="B6" s="372" t="s">
        <v>2</v>
      </c>
      <c r="C6" s="363"/>
      <c r="D6" s="365" t="s">
        <v>3</v>
      </c>
      <c r="E6" s="365"/>
      <c r="F6" s="362" t="s">
        <v>4</v>
      </c>
      <c r="G6" s="362"/>
      <c r="H6" s="362" t="s">
        <v>5</v>
      </c>
      <c r="I6" s="362"/>
      <c r="J6" s="371" t="s">
        <v>6</v>
      </c>
      <c r="K6" s="368"/>
      <c r="L6" s="368" t="s">
        <v>7</v>
      </c>
      <c r="M6" s="369"/>
      <c r="N6" s="363" t="s">
        <v>2</v>
      </c>
      <c r="O6" s="363"/>
      <c r="P6" s="365" t="s">
        <v>3</v>
      </c>
      <c r="Q6" s="365"/>
      <c r="R6" s="362" t="s">
        <v>4</v>
      </c>
      <c r="S6" s="362"/>
      <c r="T6" s="362" t="s">
        <v>5</v>
      </c>
      <c r="U6" s="362"/>
      <c r="V6" s="362" t="s">
        <v>6</v>
      </c>
      <c r="W6" s="362"/>
      <c r="X6" s="363" t="s">
        <v>7</v>
      </c>
      <c r="Y6" s="364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</row>
    <row r="7" spans="1:55" x14ac:dyDescent="0.2">
      <c r="A7" s="109" t="s">
        <v>156</v>
      </c>
      <c r="B7" s="177">
        <v>1200</v>
      </c>
      <c r="C7" s="111" t="s">
        <v>160</v>
      </c>
      <c r="D7" s="269">
        <f>'Peanut Price Calculator'!B10</f>
        <v>4700</v>
      </c>
      <c r="E7" s="267" t="s">
        <v>160</v>
      </c>
      <c r="F7" s="273">
        <v>200</v>
      </c>
      <c r="G7" s="271" t="s">
        <v>163</v>
      </c>
      <c r="H7" s="273">
        <v>60</v>
      </c>
      <c r="I7" s="271" t="s">
        <v>163</v>
      </c>
      <c r="J7" s="273">
        <v>100</v>
      </c>
      <c r="K7" s="271" t="s">
        <v>163</v>
      </c>
      <c r="L7" s="113">
        <v>75</v>
      </c>
      <c r="M7" s="114" t="s">
        <v>163</v>
      </c>
      <c r="N7" s="113">
        <v>750</v>
      </c>
      <c r="O7" s="111" t="s">
        <v>160</v>
      </c>
      <c r="P7" s="269">
        <f>'Peanut Price Calculator'!B21</f>
        <v>3400</v>
      </c>
      <c r="Q7" s="267" t="s">
        <v>160</v>
      </c>
      <c r="R7" s="273">
        <v>85</v>
      </c>
      <c r="S7" s="271" t="s">
        <v>163</v>
      </c>
      <c r="T7" s="273">
        <v>30</v>
      </c>
      <c r="U7" s="271" t="s">
        <v>163</v>
      </c>
      <c r="V7" s="273">
        <v>65</v>
      </c>
      <c r="W7" s="271" t="s">
        <v>163</v>
      </c>
      <c r="X7" s="113">
        <v>55</v>
      </c>
      <c r="Y7" s="115" t="s">
        <v>163</v>
      </c>
      <c r="Z7" s="101"/>
      <c r="AA7" s="101"/>
      <c r="AB7" s="101"/>
      <c r="BB7" s="102"/>
      <c r="BC7" s="102"/>
    </row>
    <row r="8" spans="1:55" ht="13.5" thickBot="1" x14ac:dyDescent="0.25">
      <c r="A8" s="116" t="s">
        <v>124</v>
      </c>
      <c r="B8" s="178">
        <v>0.7</v>
      </c>
      <c r="C8" s="118" t="s">
        <v>161</v>
      </c>
      <c r="D8" s="270">
        <f>'Peanut Price Calculator'!B17</f>
        <v>400</v>
      </c>
      <c r="E8" s="268" t="s">
        <v>162</v>
      </c>
      <c r="F8" s="274">
        <v>4.25</v>
      </c>
      <c r="G8" s="272" t="s">
        <v>164</v>
      </c>
      <c r="H8" s="274">
        <v>9.75</v>
      </c>
      <c r="I8" s="272" t="s">
        <v>164</v>
      </c>
      <c r="J8" s="274">
        <v>3.8</v>
      </c>
      <c r="K8" s="272" t="s">
        <v>164</v>
      </c>
      <c r="L8" s="120">
        <v>5.25</v>
      </c>
      <c r="M8" s="121" t="s">
        <v>164</v>
      </c>
      <c r="N8" s="179">
        <f>B8</f>
        <v>0.7</v>
      </c>
      <c r="O8" s="118" t="s">
        <v>161</v>
      </c>
      <c r="P8" s="270">
        <f>'Peanut Price Calculator'!B28</f>
        <v>400</v>
      </c>
      <c r="Q8" s="268" t="s">
        <v>162</v>
      </c>
      <c r="R8" s="275">
        <f>F8</f>
        <v>4.25</v>
      </c>
      <c r="S8" s="272" t="s">
        <v>164</v>
      </c>
      <c r="T8" s="275">
        <f>H8</f>
        <v>9.75</v>
      </c>
      <c r="U8" s="272" t="s">
        <v>164</v>
      </c>
      <c r="V8" s="275">
        <f>J8</f>
        <v>3.8</v>
      </c>
      <c r="W8" s="272" t="s">
        <v>164</v>
      </c>
      <c r="X8" s="179">
        <f>L8</f>
        <v>5.25</v>
      </c>
      <c r="Y8" s="122" t="s">
        <v>164</v>
      </c>
      <c r="Z8" s="101"/>
      <c r="AA8" s="101"/>
      <c r="AB8" s="101"/>
      <c r="BB8" s="102"/>
      <c r="BC8" s="102"/>
    </row>
    <row r="9" spans="1:55" x14ac:dyDescent="0.2">
      <c r="A9" s="123" t="s">
        <v>157</v>
      </c>
      <c r="B9" s="355">
        <f>B7*B8</f>
        <v>840</v>
      </c>
      <c r="C9" s="330"/>
      <c r="D9" s="334">
        <f>D8*(D7/2000)</f>
        <v>940</v>
      </c>
      <c r="E9" s="334"/>
      <c r="F9" s="334">
        <f>F7*F8</f>
        <v>850</v>
      </c>
      <c r="G9" s="334"/>
      <c r="H9" s="334">
        <f>H7*H8</f>
        <v>585</v>
      </c>
      <c r="I9" s="334"/>
      <c r="J9" s="338">
        <f>J7*J8</f>
        <v>380</v>
      </c>
      <c r="K9" s="339"/>
      <c r="L9" s="339">
        <f>L7*L8</f>
        <v>393.75</v>
      </c>
      <c r="M9" s="340"/>
      <c r="N9" s="330">
        <f>N7*N8</f>
        <v>525</v>
      </c>
      <c r="O9" s="330"/>
      <c r="P9" s="334">
        <f>P8*(P7/2000)</f>
        <v>680</v>
      </c>
      <c r="Q9" s="334"/>
      <c r="R9" s="334">
        <f>R7*R8</f>
        <v>361.25</v>
      </c>
      <c r="S9" s="334"/>
      <c r="T9" s="334">
        <f>T7*T8</f>
        <v>292.5</v>
      </c>
      <c r="U9" s="334"/>
      <c r="V9" s="334">
        <f>V7*V8</f>
        <v>247</v>
      </c>
      <c r="W9" s="334"/>
      <c r="X9" s="330">
        <f>X7*X8</f>
        <v>288.75</v>
      </c>
      <c r="Y9" s="331"/>
      <c r="Z9" s="101"/>
      <c r="AA9" s="101"/>
      <c r="AB9" s="101"/>
      <c r="BB9" s="102"/>
      <c r="BC9" s="102"/>
    </row>
    <row r="10" spans="1:55" x14ac:dyDescent="0.2">
      <c r="A10" s="124" t="s">
        <v>158</v>
      </c>
      <c r="B10" s="357"/>
      <c r="C10" s="336"/>
      <c r="D10" s="335"/>
      <c r="E10" s="335"/>
      <c r="F10" s="335"/>
      <c r="G10" s="335"/>
      <c r="H10" s="335"/>
      <c r="I10" s="335"/>
      <c r="J10" s="344"/>
      <c r="K10" s="341"/>
      <c r="L10" s="341"/>
      <c r="M10" s="342"/>
      <c r="N10" s="336"/>
      <c r="O10" s="336"/>
      <c r="P10" s="335"/>
      <c r="Q10" s="335"/>
      <c r="R10" s="335"/>
      <c r="S10" s="335"/>
      <c r="T10" s="335"/>
      <c r="U10" s="335"/>
      <c r="V10" s="335"/>
      <c r="W10" s="335"/>
      <c r="X10" s="336"/>
      <c r="Y10" s="337"/>
      <c r="Z10" s="101"/>
      <c r="AA10" s="101"/>
      <c r="AB10" s="101"/>
      <c r="BB10" s="102"/>
      <c r="BC10" s="102"/>
    </row>
    <row r="11" spans="1:55" x14ac:dyDescent="0.2">
      <c r="A11" s="106" t="s">
        <v>24</v>
      </c>
      <c r="B11" s="356">
        <v>91.32</v>
      </c>
      <c r="C11" s="328"/>
      <c r="D11" s="343">
        <v>105</v>
      </c>
      <c r="E11" s="343"/>
      <c r="F11" s="343">
        <v>94.4</v>
      </c>
      <c r="G11" s="343"/>
      <c r="H11" s="343">
        <v>50</v>
      </c>
      <c r="I11" s="343"/>
      <c r="J11" s="345">
        <v>13.5</v>
      </c>
      <c r="K11" s="346"/>
      <c r="L11" s="346">
        <f>49.5</f>
        <v>49.5</v>
      </c>
      <c r="M11" s="347"/>
      <c r="N11" s="328">
        <v>91.32</v>
      </c>
      <c r="O11" s="328"/>
      <c r="P11" s="343">
        <v>105</v>
      </c>
      <c r="Q11" s="343"/>
      <c r="R11" s="343">
        <v>51</v>
      </c>
      <c r="S11" s="343"/>
      <c r="T11" s="343">
        <v>50</v>
      </c>
      <c r="U11" s="343"/>
      <c r="V11" s="343">
        <v>8.25</v>
      </c>
      <c r="W11" s="343"/>
      <c r="X11" s="328">
        <v>30</v>
      </c>
      <c r="Y11" s="329"/>
      <c r="Z11" s="101"/>
      <c r="AA11" s="101"/>
      <c r="AB11" s="101"/>
      <c r="BB11" s="102"/>
      <c r="BC11" s="102"/>
    </row>
    <row r="12" spans="1:55" x14ac:dyDescent="0.2">
      <c r="A12" s="106" t="s">
        <v>8</v>
      </c>
      <c r="B12" s="306">
        <f>B7/495*0.5</f>
        <v>1.2121212121212122</v>
      </c>
      <c r="C12" s="307"/>
      <c r="D12" s="297"/>
      <c r="E12" s="297"/>
      <c r="F12" s="297"/>
      <c r="G12" s="297"/>
      <c r="H12" s="297"/>
      <c r="I12" s="297"/>
      <c r="J12" s="307"/>
      <c r="K12" s="307"/>
      <c r="L12" s="297"/>
      <c r="M12" s="297"/>
      <c r="N12" s="306">
        <f>N7/495*0.5</f>
        <v>0.75757575757575757</v>
      </c>
      <c r="O12" s="307"/>
      <c r="P12" s="297"/>
      <c r="Q12" s="297"/>
      <c r="R12" s="297"/>
      <c r="S12" s="297"/>
      <c r="T12" s="297"/>
      <c r="U12" s="297"/>
      <c r="V12" s="297"/>
      <c r="W12" s="297"/>
      <c r="X12" s="307"/>
      <c r="Y12" s="312"/>
      <c r="Z12" s="101"/>
      <c r="AA12" s="101"/>
      <c r="AB12" s="101"/>
      <c r="BB12" s="102"/>
      <c r="BC12" s="102"/>
    </row>
    <row r="13" spans="1:55" x14ac:dyDescent="0.2">
      <c r="A13" s="106" t="s">
        <v>27</v>
      </c>
      <c r="B13" s="306">
        <f>14+2.63+B7*0.075*$D$45+0.05833*B7*$F$45+0.05833*B7*$H$45</f>
        <v>131.22664</v>
      </c>
      <c r="C13" s="307"/>
      <c r="D13" s="297">
        <f>52+8+2.25</f>
        <v>62.25</v>
      </c>
      <c r="E13" s="297"/>
      <c r="F13" s="297">
        <f>22+F7*1.2*$D$45+F7*0.6*$F$45+F7*$H$45</f>
        <v>304.39999999999998</v>
      </c>
      <c r="G13" s="297"/>
      <c r="H13" s="297">
        <f>4+14.52+0.6667*H7*$F$45+1.333*H7*$H$45+2.25</f>
        <v>70.762660000000011</v>
      </c>
      <c r="I13" s="297"/>
      <c r="J13" s="307">
        <f>22+1.25*J7*$D$45+0.6*J7*$F$45+0.9*J7*$H$45</f>
        <v>162.19999999999999</v>
      </c>
      <c r="K13" s="307"/>
      <c r="L13" s="297">
        <f>11+1.6*L7*$D$45+0.6667*L7*$F$45+0.8*L7*$H$45</f>
        <v>131.50107500000001</v>
      </c>
      <c r="M13" s="297"/>
      <c r="N13" s="306">
        <f>14+2.63+0.0933*N7*$D$45+0.0667*N7*$F$45+0.0667*N7*$H$45</f>
        <v>102.0355</v>
      </c>
      <c r="O13" s="307"/>
      <c r="P13" s="297">
        <f>8+2.25+52</f>
        <v>62.25</v>
      </c>
      <c r="Q13" s="297"/>
      <c r="R13" s="297">
        <f>11+R7*1.2*$D$45+0.4706*R7*$F$45+0.7059*R7*$H$45</f>
        <v>116.041045</v>
      </c>
      <c r="S13" s="297"/>
      <c r="T13" s="297">
        <f>4+14.52+1.3333*T7*$F$45+2.6667*T7*$H$45+2.25</f>
        <v>70.769980000000004</v>
      </c>
      <c r="U13" s="297"/>
      <c r="V13" s="297">
        <f>11+1.2308*V7*$D$45+0.6154*V7*$F$45+0.9231*V7*$H$45</f>
        <v>102.40228500000001</v>
      </c>
      <c r="W13" s="297"/>
      <c r="X13" s="307">
        <f>11+1.4545*X7*$D$45+0.7273*X7*$F$45+0.7273*X7*$H$45</f>
        <v>94.199709999999996</v>
      </c>
      <c r="Y13" s="312"/>
      <c r="Z13" s="101"/>
      <c r="AA13" s="290"/>
      <c r="AB13" s="101"/>
      <c r="BB13" s="102"/>
      <c r="BC13" s="102"/>
    </row>
    <row r="14" spans="1:55" x14ac:dyDescent="0.2">
      <c r="A14" s="106" t="s">
        <v>126</v>
      </c>
      <c r="B14" s="306"/>
      <c r="C14" s="307"/>
      <c r="D14" s="297"/>
      <c r="E14" s="297"/>
      <c r="F14" s="297"/>
      <c r="G14" s="297"/>
      <c r="H14" s="297"/>
      <c r="I14" s="297"/>
      <c r="J14" s="307"/>
      <c r="K14" s="307"/>
      <c r="L14" s="297"/>
      <c r="M14" s="297"/>
      <c r="N14" s="306"/>
      <c r="O14" s="307"/>
      <c r="P14" s="297"/>
      <c r="Q14" s="297"/>
      <c r="R14" s="297"/>
      <c r="S14" s="297"/>
      <c r="T14" s="297"/>
      <c r="U14" s="297"/>
      <c r="V14" s="297"/>
      <c r="W14" s="297"/>
      <c r="X14" s="307"/>
      <c r="Y14" s="312"/>
      <c r="Z14" s="101"/>
      <c r="AA14" s="290"/>
      <c r="AB14" s="101"/>
      <c r="BB14" s="102"/>
      <c r="BC14" s="102"/>
    </row>
    <row r="15" spans="1:55" x14ac:dyDescent="0.2">
      <c r="A15" s="106" t="s">
        <v>9</v>
      </c>
      <c r="B15" s="306">
        <f>19.6+34.58+9+9.7+3.6+14.82+9</f>
        <v>100.29999999999998</v>
      </c>
      <c r="C15" s="307"/>
      <c r="D15" s="297">
        <f>44.3+46.2+74.67</f>
        <v>165.17000000000002</v>
      </c>
      <c r="E15" s="297"/>
      <c r="F15" s="297">
        <f>22.56+14.2</f>
        <v>36.76</v>
      </c>
      <c r="G15" s="297"/>
      <c r="H15" s="297">
        <f>27.43+5.02+30.6</f>
        <v>63.050000000000004</v>
      </c>
      <c r="I15" s="297"/>
      <c r="J15" s="307">
        <v>20.5</v>
      </c>
      <c r="K15" s="307"/>
      <c r="L15" s="297">
        <f>18.65+5.06+10</f>
        <v>33.709999999999994</v>
      </c>
      <c r="M15" s="297"/>
      <c r="N15" s="306">
        <f>19.6+34.58+9+9.7+1.6+14.82+9</f>
        <v>98.299999999999983</v>
      </c>
      <c r="O15" s="307"/>
      <c r="P15" s="297">
        <f>52.59+46.2+40.98</f>
        <v>139.77000000000001</v>
      </c>
      <c r="Q15" s="297"/>
      <c r="R15" s="297">
        <f>22.56+14.2</f>
        <v>36.76</v>
      </c>
      <c r="S15" s="297"/>
      <c r="T15" s="297">
        <f>23.75+5.02</f>
        <v>28.77</v>
      </c>
      <c r="U15" s="297"/>
      <c r="V15" s="297">
        <v>18.2</v>
      </c>
      <c r="W15" s="297"/>
      <c r="X15" s="307">
        <f>18.65+1.6</f>
        <v>20.25</v>
      </c>
      <c r="Y15" s="312"/>
      <c r="Z15" s="101"/>
      <c r="AA15" s="290"/>
      <c r="AB15" s="101"/>
      <c r="BB15" s="102"/>
      <c r="BC15" s="102"/>
    </row>
    <row r="16" spans="1:55" x14ac:dyDescent="0.2">
      <c r="A16" s="106" t="s">
        <v>174</v>
      </c>
      <c r="B16" s="249"/>
      <c r="C16" s="250"/>
      <c r="D16" s="294"/>
      <c r="E16" s="295"/>
      <c r="F16" s="294"/>
      <c r="G16" s="295"/>
      <c r="H16" s="294"/>
      <c r="I16" s="295"/>
      <c r="J16" s="250"/>
      <c r="K16" s="250"/>
      <c r="L16" s="294"/>
      <c r="M16" s="295"/>
      <c r="N16" s="249"/>
      <c r="O16" s="250"/>
      <c r="P16" s="294"/>
      <c r="Q16" s="295"/>
      <c r="R16" s="294"/>
      <c r="S16" s="295"/>
      <c r="T16" s="294"/>
      <c r="U16" s="295"/>
      <c r="V16" s="294"/>
      <c r="W16" s="295"/>
      <c r="X16" s="250"/>
      <c r="Y16" s="251"/>
      <c r="Z16" s="101"/>
      <c r="AA16" s="101"/>
      <c r="AB16" s="101"/>
      <c r="BB16" s="102"/>
      <c r="BC16" s="102"/>
    </row>
    <row r="17" spans="1:55" x14ac:dyDescent="0.2">
      <c r="A17" s="106" t="s">
        <v>175</v>
      </c>
      <c r="B17" s="306">
        <v>7.5</v>
      </c>
      <c r="C17" s="307"/>
      <c r="D17" s="297">
        <v>7.5</v>
      </c>
      <c r="E17" s="297"/>
      <c r="F17" s="297"/>
      <c r="G17" s="297"/>
      <c r="H17" s="297"/>
      <c r="I17" s="297"/>
      <c r="J17" s="307"/>
      <c r="K17" s="307"/>
      <c r="L17" s="297"/>
      <c r="M17" s="297"/>
      <c r="N17" s="306">
        <v>7.5</v>
      </c>
      <c r="O17" s="307"/>
      <c r="P17" s="297">
        <v>7.5</v>
      </c>
      <c r="Q17" s="297"/>
      <c r="R17" s="297"/>
      <c r="S17" s="297"/>
      <c r="T17" s="297"/>
      <c r="U17" s="297"/>
      <c r="V17" s="297"/>
      <c r="W17" s="297"/>
      <c r="X17" s="307"/>
      <c r="Y17" s="312"/>
      <c r="Z17" s="101"/>
      <c r="AA17" s="101"/>
      <c r="AB17" s="101"/>
      <c r="BB17" s="102"/>
      <c r="BC17" s="102"/>
    </row>
    <row r="18" spans="1:55" x14ac:dyDescent="0.2">
      <c r="A18" s="106" t="s">
        <v>10</v>
      </c>
      <c r="B18" s="306">
        <v>10</v>
      </c>
      <c r="C18" s="307"/>
      <c r="D18" s="297">
        <v>10</v>
      </c>
      <c r="E18" s="297"/>
      <c r="F18" s="297"/>
      <c r="G18" s="297"/>
      <c r="H18" s="297"/>
      <c r="I18" s="297"/>
      <c r="J18" s="307"/>
      <c r="K18" s="307"/>
      <c r="L18" s="297"/>
      <c r="M18" s="297"/>
      <c r="N18" s="306">
        <v>10</v>
      </c>
      <c r="O18" s="307"/>
      <c r="P18" s="297">
        <v>10</v>
      </c>
      <c r="Q18" s="297"/>
      <c r="R18" s="297"/>
      <c r="S18" s="297"/>
      <c r="T18" s="297"/>
      <c r="U18" s="297"/>
      <c r="V18" s="297"/>
      <c r="W18" s="297"/>
      <c r="X18" s="307"/>
      <c r="Y18" s="312"/>
      <c r="Z18" s="101"/>
      <c r="AA18" s="101"/>
      <c r="AB18" s="101"/>
      <c r="BB18" s="102"/>
      <c r="BC18" s="102"/>
    </row>
    <row r="19" spans="1:55" x14ac:dyDescent="0.2">
      <c r="A19" s="106" t="s">
        <v>28</v>
      </c>
      <c r="B19" s="306">
        <f>13.3*$B$46</f>
        <v>38.57</v>
      </c>
      <c r="C19" s="307"/>
      <c r="D19" s="297">
        <f>(9.2+7.9)*$B$46</f>
        <v>49.59</v>
      </c>
      <c r="E19" s="297"/>
      <c r="F19" s="297">
        <f>7.2*$B$46</f>
        <v>20.88</v>
      </c>
      <c r="G19" s="297"/>
      <c r="H19" s="297">
        <f>6*$B$46</f>
        <v>17.399999999999999</v>
      </c>
      <c r="I19" s="297"/>
      <c r="J19" s="307">
        <f>7.3*$B$46</f>
        <v>21.169999999999998</v>
      </c>
      <c r="K19" s="307"/>
      <c r="L19" s="297">
        <f>9.95*$B$46</f>
        <v>28.854999999999997</v>
      </c>
      <c r="M19" s="297"/>
      <c r="N19" s="306">
        <f>12.85*$B$46</f>
        <v>37.265000000000001</v>
      </c>
      <c r="O19" s="307"/>
      <c r="P19" s="297">
        <f>(9.2+7.9)*$B$46</f>
        <v>49.59</v>
      </c>
      <c r="Q19" s="297"/>
      <c r="R19" s="297">
        <f>7.2*$B$46</f>
        <v>20.88</v>
      </c>
      <c r="S19" s="297"/>
      <c r="T19" s="297">
        <f>6*$B$46</f>
        <v>17.399999999999999</v>
      </c>
      <c r="U19" s="297"/>
      <c r="V19" s="297">
        <f>7.3*$B$46</f>
        <v>21.169999999999998</v>
      </c>
      <c r="W19" s="297"/>
      <c r="X19" s="307">
        <f>5.54*$B$46</f>
        <v>16.065999999999999</v>
      </c>
      <c r="Y19" s="312"/>
      <c r="Z19" s="101"/>
      <c r="AA19" s="101"/>
      <c r="AB19" s="101"/>
      <c r="BB19" s="102"/>
      <c r="BC19" s="102"/>
    </row>
    <row r="20" spans="1:55" x14ac:dyDescent="0.2">
      <c r="A20" s="106" t="s">
        <v>11</v>
      </c>
      <c r="B20" s="306">
        <f>1.05*24.149475</f>
        <v>25.356948750000001</v>
      </c>
      <c r="C20" s="307"/>
      <c r="D20" s="297">
        <f>18.72+26.22</f>
        <v>44.94</v>
      </c>
      <c r="E20" s="297"/>
      <c r="F20" s="297">
        <f>10.66+7.49</f>
        <v>18.149999999999999</v>
      </c>
      <c r="G20" s="297"/>
      <c r="H20" s="297">
        <f>7.7+6.85</f>
        <v>14.55</v>
      </c>
      <c r="I20" s="297"/>
      <c r="J20" s="307">
        <f>10.96+6.52</f>
        <v>17.48</v>
      </c>
      <c r="K20" s="307"/>
      <c r="L20" s="297">
        <f>16.22+4.73</f>
        <v>20.95</v>
      </c>
      <c r="M20" s="297"/>
      <c r="N20" s="306">
        <f>1.05*22.9995</f>
        <v>24.149475000000002</v>
      </c>
      <c r="O20" s="307"/>
      <c r="P20" s="297">
        <f>18.72+26.22</f>
        <v>44.94</v>
      </c>
      <c r="Q20" s="297"/>
      <c r="R20" s="297">
        <f>10.66+7.49</f>
        <v>18.149999999999999</v>
      </c>
      <c r="S20" s="297"/>
      <c r="T20" s="297">
        <f>7.7+6.85</f>
        <v>14.55</v>
      </c>
      <c r="U20" s="297"/>
      <c r="V20" s="297">
        <f>10.96+6.52</f>
        <v>17.48</v>
      </c>
      <c r="W20" s="297"/>
      <c r="X20" s="307">
        <f>5.75+4.42</f>
        <v>10.17</v>
      </c>
      <c r="Y20" s="312"/>
      <c r="Z20" s="101"/>
      <c r="AA20" s="101"/>
      <c r="AB20" s="101"/>
      <c r="BB20" s="102"/>
      <c r="BC20" s="102"/>
    </row>
    <row r="21" spans="1:55" x14ac:dyDescent="0.2">
      <c r="A21" s="106" t="s">
        <v>29</v>
      </c>
      <c r="B21" s="306">
        <f>((7*8)+(4.6*$B$46*8))/2</f>
        <v>81.359999999999985</v>
      </c>
      <c r="C21" s="307"/>
      <c r="D21" s="297">
        <f>((7*6)+(4.6*$B$46*6))/2</f>
        <v>61.019999999999996</v>
      </c>
      <c r="E21" s="297"/>
      <c r="F21" s="297">
        <f>((7*8)+(4.6*$B$46*8))/2</f>
        <v>81.359999999999985</v>
      </c>
      <c r="G21" s="297"/>
      <c r="H21" s="297">
        <f>((7*5)+(4.6*$B$46*5))/2</f>
        <v>50.849999999999994</v>
      </c>
      <c r="I21" s="297"/>
      <c r="J21" s="307">
        <f>((7*4)+(4.6*$B$46*4))/2</f>
        <v>40.679999999999993</v>
      </c>
      <c r="K21" s="307"/>
      <c r="L21" s="307">
        <f>((7*2)+(4.6*$B$46*2))/2</f>
        <v>20.339999999999996</v>
      </c>
      <c r="M21" s="307"/>
      <c r="N21" s="306"/>
      <c r="O21" s="307"/>
      <c r="P21" s="297"/>
      <c r="Q21" s="297"/>
      <c r="R21" s="297"/>
      <c r="S21" s="297"/>
      <c r="T21" s="297"/>
      <c r="U21" s="297"/>
      <c r="V21" s="297"/>
      <c r="W21" s="297"/>
      <c r="X21" s="307"/>
      <c r="Y21" s="312"/>
      <c r="Z21" s="101"/>
      <c r="AA21" s="101"/>
      <c r="AB21" s="101"/>
      <c r="BB21" s="102"/>
      <c r="BC21" s="102"/>
    </row>
    <row r="22" spans="1:55" x14ac:dyDescent="0.2">
      <c r="A22" s="106" t="s">
        <v>13</v>
      </c>
      <c r="B22" s="306">
        <f>2.3*12</f>
        <v>27.599999999999998</v>
      </c>
      <c r="C22" s="307"/>
      <c r="D22" s="297">
        <v>30.16</v>
      </c>
      <c r="E22" s="297"/>
      <c r="F22" s="297">
        <v>12.11</v>
      </c>
      <c r="G22" s="297"/>
      <c r="H22" s="297">
        <v>10</v>
      </c>
      <c r="I22" s="297"/>
      <c r="J22" s="307">
        <f>11.41/11.25*12</f>
        <v>12.170666666666666</v>
      </c>
      <c r="K22" s="307"/>
      <c r="L22" s="297">
        <f>14.09</f>
        <v>14.09</v>
      </c>
      <c r="M22" s="297"/>
      <c r="N22" s="306">
        <v>26.77</v>
      </c>
      <c r="O22" s="307"/>
      <c r="P22" s="297">
        <v>30.16</v>
      </c>
      <c r="Q22" s="297"/>
      <c r="R22" s="297">
        <v>12.11</v>
      </c>
      <c r="S22" s="297"/>
      <c r="T22" s="297">
        <v>10</v>
      </c>
      <c r="U22" s="297"/>
      <c r="V22" s="297">
        <v>12.17</v>
      </c>
      <c r="W22" s="297"/>
      <c r="X22" s="307">
        <f>7.46</f>
        <v>7.46</v>
      </c>
      <c r="Y22" s="312"/>
      <c r="Z22" s="101"/>
      <c r="AA22" s="101"/>
      <c r="AB22" s="101"/>
      <c r="BB22" s="102"/>
      <c r="BC22" s="102"/>
    </row>
    <row r="23" spans="1:55" x14ac:dyDescent="0.2">
      <c r="A23" s="106" t="s">
        <v>14</v>
      </c>
      <c r="B23" s="306">
        <v>13</v>
      </c>
      <c r="C23" s="307"/>
      <c r="D23" s="297">
        <v>21</v>
      </c>
      <c r="E23" s="297"/>
      <c r="F23" s="297">
        <v>14</v>
      </c>
      <c r="G23" s="297"/>
      <c r="H23" s="297">
        <v>8</v>
      </c>
      <c r="I23" s="297"/>
      <c r="J23" s="307">
        <v>21</v>
      </c>
      <c r="K23" s="307"/>
      <c r="L23" s="297">
        <v>7</v>
      </c>
      <c r="M23" s="297"/>
      <c r="N23" s="306">
        <v>24</v>
      </c>
      <c r="O23" s="307"/>
      <c r="P23" s="297">
        <v>29</v>
      </c>
      <c r="Q23" s="297"/>
      <c r="R23" s="297">
        <v>23</v>
      </c>
      <c r="S23" s="297"/>
      <c r="T23" s="297">
        <v>14</v>
      </c>
      <c r="U23" s="297"/>
      <c r="V23" s="297">
        <v>17</v>
      </c>
      <c r="W23" s="297"/>
      <c r="X23" s="307">
        <v>10</v>
      </c>
      <c r="Y23" s="312"/>
      <c r="Z23" s="101"/>
      <c r="AA23" s="101"/>
      <c r="AB23" s="101"/>
      <c r="BB23" s="102"/>
      <c r="BC23" s="102"/>
    </row>
    <row r="24" spans="1:55" x14ac:dyDescent="0.2">
      <c r="A24" s="106" t="s">
        <v>127</v>
      </c>
      <c r="B24" s="306"/>
      <c r="C24" s="307"/>
      <c r="D24" s="297"/>
      <c r="E24" s="297"/>
      <c r="F24" s="297"/>
      <c r="G24" s="297"/>
      <c r="H24" s="297"/>
      <c r="I24" s="297"/>
      <c r="J24" s="307"/>
      <c r="K24" s="307"/>
      <c r="L24" s="297"/>
      <c r="M24" s="297"/>
      <c r="N24" s="306"/>
      <c r="O24" s="307"/>
      <c r="P24" s="297"/>
      <c r="Q24" s="297"/>
      <c r="R24" s="297"/>
      <c r="S24" s="297"/>
      <c r="T24" s="297"/>
      <c r="U24" s="297"/>
      <c r="V24" s="297"/>
      <c r="W24" s="297"/>
      <c r="X24" s="307"/>
      <c r="Y24" s="312"/>
      <c r="Z24" s="101"/>
      <c r="AA24" s="101"/>
      <c r="AB24" s="101"/>
      <c r="BB24" s="102"/>
      <c r="BC24" s="102"/>
    </row>
    <row r="25" spans="1:55" x14ac:dyDescent="0.2">
      <c r="A25" s="106" t="s">
        <v>16</v>
      </c>
      <c r="B25" s="306"/>
      <c r="C25" s="307"/>
      <c r="D25" s="297"/>
      <c r="E25" s="297"/>
      <c r="F25" s="297"/>
      <c r="G25" s="297"/>
      <c r="H25" s="297"/>
      <c r="I25" s="297"/>
      <c r="J25" s="307"/>
      <c r="K25" s="307"/>
      <c r="L25" s="297"/>
      <c r="M25" s="297"/>
      <c r="N25" s="306"/>
      <c r="O25" s="307"/>
      <c r="P25" s="297"/>
      <c r="Q25" s="297"/>
      <c r="R25" s="297"/>
      <c r="S25" s="297"/>
      <c r="T25" s="297"/>
      <c r="U25" s="297"/>
      <c r="V25" s="297"/>
      <c r="W25" s="297"/>
      <c r="X25" s="307"/>
      <c r="Y25" s="312"/>
      <c r="Z25" s="101"/>
      <c r="AA25" s="101"/>
      <c r="AB25" s="101"/>
      <c r="BB25" s="102"/>
      <c r="BC25" s="102"/>
    </row>
    <row r="26" spans="1:55" x14ac:dyDescent="0.2">
      <c r="A26" s="106" t="s">
        <v>17</v>
      </c>
      <c r="B26" s="348">
        <f t="shared" ref="B26:X26" si="0">(SUM(B11:B25))*0.5*0.065</f>
        <v>17.141985573768942</v>
      </c>
      <c r="C26" s="324"/>
      <c r="D26" s="326">
        <f t="shared" si="0"/>
        <v>18.090475000000001</v>
      </c>
      <c r="E26" s="326"/>
      <c r="F26" s="326">
        <f t="shared" si="0"/>
        <v>18.91695</v>
      </c>
      <c r="G26" s="326"/>
      <c r="H26" s="326">
        <f t="shared" si="0"/>
        <v>9.2499114500000008</v>
      </c>
      <c r="I26" s="326"/>
      <c r="J26" s="324">
        <f t="shared" si="0"/>
        <v>10.032771666666665</v>
      </c>
      <c r="K26" s="324"/>
      <c r="L26" s="326">
        <f>(SUM(L11:L25))*0.5*0.065</f>
        <v>9.9432474374999984</v>
      </c>
      <c r="M26" s="326"/>
      <c r="N26" s="348">
        <f t="shared" si="0"/>
        <v>13.71817039962121</v>
      </c>
      <c r="O26" s="324"/>
      <c r="P26" s="326">
        <f t="shared" si="0"/>
        <v>15.541825000000001</v>
      </c>
      <c r="Q26" s="326"/>
      <c r="R26" s="326">
        <f t="shared" si="0"/>
        <v>9.0330839624999992</v>
      </c>
      <c r="S26" s="326"/>
      <c r="T26" s="326">
        <f t="shared" si="0"/>
        <v>6.6784243500000011</v>
      </c>
      <c r="U26" s="326"/>
      <c r="V26" s="326">
        <f t="shared" si="0"/>
        <v>6.3918492624999992</v>
      </c>
      <c r="W26" s="326"/>
      <c r="X26" s="324">
        <f t="shared" si="0"/>
        <v>6.1147355749999992</v>
      </c>
      <c r="Y26" s="325"/>
      <c r="Z26" s="101"/>
      <c r="AA26" s="101"/>
      <c r="AB26" s="101"/>
      <c r="BB26" s="102"/>
      <c r="BC26" s="102"/>
    </row>
    <row r="27" spans="1:55" x14ac:dyDescent="0.2">
      <c r="A27" s="106" t="s">
        <v>173</v>
      </c>
      <c r="B27" s="348">
        <f>B7*0.085+B7/495*17.13-1.37*B7/2000*200</f>
        <v>-20.872727272727275</v>
      </c>
      <c r="C27" s="324"/>
      <c r="D27" s="326"/>
      <c r="E27" s="326"/>
      <c r="F27" s="326"/>
      <c r="G27" s="326"/>
      <c r="H27" s="326"/>
      <c r="I27" s="326"/>
      <c r="J27" s="324"/>
      <c r="K27" s="324"/>
      <c r="L27" s="326"/>
      <c r="M27" s="326"/>
      <c r="N27" s="348">
        <f>N7*0.085+N7/495*17.13-1.37*N7/2000*200</f>
        <v>-13.045454545454547</v>
      </c>
      <c r="O27" s="324"/>
      <c r="P27" s="326"/>
      <c r="Q27" s="326"/>
      <c r="R27" s="326"/>
      <c r="S27" s="326"/>
      <c r="T27" s="326"/>
      <c r="U27" s="326"/>
      <c r="V27" s="326"/>
      <c r="W27" s="326"/>
      <c r="X27" s="324"/>
      <c r="Y27" s="325"/>
      <c r="Z27" s="101"/>
      <c r="AA27" s="101"/>
      <c r="AB27" s="101"/>
      <c r="BB27" s="102"/>
      <c r="BC27" s="102"/>
    </row>
    <row r="28" spans="1:55" x14ac:dyDescent="0.2">
      <c r="A28" s="106" t="s">
        <v>15</v>
      </c>
      <c r="B28" s="348"/>
      <c r="C28" s="324"/>
      <c r="D28" s="326">
        <f>D7/2000*0.33*20+D7/2000*0.67*30</f>
        <v>62.745000000000005</v>
      </c>
      <c r="E28" s="326"/>
      <c r="F28" s="326">
        <f>F7*1.0975*0.28</f>
        <v>61.46</v>
      </c>
      <c r="G28" s="326"/>
      <c r="H28" s="326"/>
      <c r="I28" s="326"/>
      <c r="J28" s="324">
        <f>J7*1.0975*0.28</f>
        <v>30.73</v>
      </c>
      <c r="K28" s="324"/>
      <c r="L28" s="326">
        <f>L7*1.03*0.09</f>
        <v>6.9524999999999997</v>
      </c>
      <c r="M28" s="326"/>
      <c r="N28" s="348"/>
      <c r="O28" s="324"/>
      <c r="P28" s="326">
        <f>P7/2000*0.33*20+P7/2000*0.67*30</f>
        <v>45.39</v>
      </c>
      <c r="Q28" s="326"/>
      <c r="R28" s="326">
        <f>R7*1.0975*0.28</f>
        <v>26.1205</v>
      </c>
      <c r="S28" s="326"/>
      <c r="T28" s="326"/>
      <c r="U28" s="326"/>
      <c r="V28" s="326">
        <f>V7*1.0975*0.28</f>
        <v>19.974499999999999</v>
      </c>
      <c r="W28" s="326"/>
      <c r="X28" s="324">
        <f>X7*1.03*0.09</f>
        <v>5.0984999999999996</v>
      </c>
      <c r="Y28" s="325"/>
      <c r="Z28" s="101"/>
      <c r="AA28" s="101"/>
      <c r="AB28" s="101"/>
      <c r="BB28" s="102"/>
      <c r="BC28" s="102"/>
    </row>
    <row r="29" spans="1:55" x14ac:dyDescent="0.2">
      <c r="A29" s="106" t="s">
        <v>18</v>
      </c>
      <c r="B29" s="308"/>
      <c r="C29" s="309"/>
      <c r="D29" s="298">
        <f>D7/2000*3+D7/2000*355*0.01</f>
        <v>15.3925</v>
      </c>
      <c r="E29" s="298"/>
      <c r="F29" s="298"/>
      <c r="G29" s="298"/>
      <c r="H29" s="298"/>
      <c r="I29" s="298"/>
      <c r="J29" s="309"/>
      <c r="K29" s="309"/>
      <c r="L29" s="298"/>
      <c r="M29" s="298"/>
      <c r="N29" s="308"/>
      <c r="O29" s="309"/>
      <c r="P29" s="298">
        <f>P7/2000*3+P7/2000*355*0.01</f>
        <v>11.135</v>
      </c>
      <c r="Q29" s="298"/>
      <c r="R29" s="298"/>
      <c r="S29" s="298"/>
      <c r="T29" s="298"/>
      <c r="U29" s="298"/>
      <c r="V29" s="298"/>
      <c r="W29" s="298"/>
      <c r="X29" s="309"/>
      <c r="Y29" s="320"/>
      <c r="Z29" s="101"/>
      <c r="AA29" s="101"/>
      <c r="AB29" s="101"/>
      <c r="BB29" s="102"/>
      <c r="BC29" s="102"/>
    </row>
    <row r="30" spans="1:55" ht="13.5" thickBot="1" x14ac:dyDescent="0.25">
      <c r="A30" s="138" t="s">
        <v>159</v>
      </c>
      <c r="B30" s="319">
        <f t="shared" ref="B30:X30" si="1">SUM(B11:B29)</f>
        <v>523.71496826316286</v>
      </c>
      <c r="C30" s="318"/>
      <c r="D30" s="301">
        <f t="shared" si="1"/>
        <v>652.85797500000001</v>
      </c>
      <c r="E30" s="301"/>
      <c r="F30" s="301">
        <f t="shared" si="1"/>
        <v>662.43695000000002</v>
      </c>
      <c r="G30" s="301"/>
      <c r="H30" s="301">
        <f t="shared" si="1"/>
        <v>293.86257145000002</v>
      </c>
      <c r="I30" s="301"/>
      <c r="J30" s="318">
        <f t="shared" si="1"/>
        <v>349.46343833333333</v>
      </c>
      <c r="K30" s="318"/>
      <c r="L30" s="301">
        <f>SUM(L11:L29)</f>
        <v>322.84182243749996</v>
      </c>
      <c r="M30" s="301"/>
      <c r="N30" s="319">
        <f t="shared" si="1"/>
        <v>422.77026661174233</v>
      </c>
      <c r="O30" s="318"/>
      <c r="P30" s="301">
        <f t="shared" si="1"/>
        <v>550.27682500000003</v>
      </c>
      <c r="Q30" s="301"/>
      <c r="R30" s="301">
        <f t="shared" si="1"/>
        <v>313.09462896249994</v>
      </c>
      <c r="S30" s="301"/>
      <c r="T30" s="301">
        <f t="shared" si="1"/>
        <v>212.16840435000003</v>
      </c>
      <c r="U30" s="301"/>
      <c r="V30" s="301">
        <f t="shared" si="1"/>
        <v>223.03863426249995</v>
      </c>
      <c r="W30" s="301"/>
      <c r="X30" s="318">
        <f t="shared" si="1"/>
        <v>199.35894557499998</v>
      </c>
      <c r="Y30" s="322"/>
      <c r="Z30" s="101"/>
      <c r="AA30" s="101"/>
      <c r="AB30" s="101"/>
      <c r="BB30" s="102"/>
      <c r="BC30" s="102"/>
    </row>
    <row r="31" spans="1:55" s="182" customFormat="1" x14ac:dyDescent="0.2">
      <c r="A31" s="180" t="s">
        <v>165</v>
      </c>
      <c r="B31" s="349">
        <f t="shared" ref="B31:X31" si="2">B9-B30</f>
        <v>316.28503173683714</v>
      </c>
      <c r="C31" s="332"/>
      <c r="D31" s="327">
        <f t="shared" si="2"/>
        <v>287.14202499999999</v>
      </c>
      <c r="E31" s="327"/>
      <c r="F31" s="327">
        <f t="shared" si="2"/>
        <v>187.56304999999998</v>
      </c>
      <c r="G31" s="327"/>
      <c r="H31" s="327">
        <f t="shared" si="2"/>
        <v>291.13742854999998</v>
      </c>
      <c r="I31" s="327"/>
      <c r="J31" s="332">
        <f t="shared" si="2"/>
        <v>30.536561666666671</v>
      </c>
      <c r="K31" s="332"/>
      <c r="L31" s="327">
        <f>L9-L30</f>
        <v>70.908177562500043</v>
      </c>
      <c r="M31" s="327"/>
      <c r="N31" s="349">
        <f t="shared" si="2"/>
        <v>102.22973338825767</v>
      </c>
      <c r="O31" s="332"/>
      <c r="P31" s="327">
        <f t="shared" si="2"/>
        <v>129.72317499999997</v>
      </c>
      <c r="Q31" s="327"/>
      <c r="R31" s="327">
        <f t="shared" si="2"/>
        <v>48.155371037500061</v>
      </c>
      <c r="S31" s="327"/>
      <c r="T31" s="327">
        <f t="shared" si="2"/>
        <v>80.331595649999969</v>
      </c>
      <c r="U31" s="327"/>
      <c r="V31" s="327">
        <f t="shared" si="2"/>
        <v>23.961365737500046</v>
      </c>
      <c r="W31" s="327"/>
      <c r="X31" s="332">
        <f t="shared" si="2"/>
        <v>89.391054425000021</v>
      </c>
      <c r="Y31" s="333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</row>
    <row r="32" spans="1:55" x14ac:dyDescent="0.2">
      <c r="A32" s="140" t="s">
        <v>172</v>
      </c>
      <c r="B32" s="141">
        <f>B30/B7</f>
        <v>0.4364291402193024</v>
      </c>
      <c r="C32" s="142" t="s">
        <v>161</v>
      </c>
      <c r="D32" s="258">
        <f>D30/D7*2000</f>
        <v>277.81190425531918</v>
      </c>
      <c r="E32" s="257" t="s">
        <v>162</v>
      </c>
      <c r="F32" s="259">
        <f>F30/F7</f>
        <v>3.3121847500000001</v>
      </c>
      <c r="G32" s="257" t="s">
        <v>164</v>
      </c>
      <c r="H32" s="259">
        <f>H30/H7</f>
        <v>4.8977095241666673</v>
      </c>
      <c r="I32" s="257" t="s">
        <v>164</v>
      </c>
      <c r="J32" s="143">
        <f>J30/J7</f>
        <v>3.4946343833333331</v>
      </c>
      <c r="K32" s="142" t="s">
        <v>164</v>
      </c>
      <c r="L32" s="259">
        <f>L30/L7</f>
        <v>4.304557632499999</v>
      </c>
      <c r="M32" s="144" t="s">
        <v>164</v>
      </c>
      <c r="N32" s="143">
        <f>N30/N7</f>
        <v>0.5636936888156564</v>
      </c>
      <c r="O32" s="142" t="s">
        <v>161</v>
      </c>
      <c r="P32" s="258">
        <f>P30/P7*2000</f>
        <v>323.69225</v>
      </c>
      <c r="Q32" s="257" t="s">
        <v>162</v>
      </c>
      <c r="R32" s="259">
        <f>R30/R7</f>
        <v>3.6834662230882347</v>
      </c>
      <c r="S32" s="257" t="s">
        <v>164</v>
      </c>
      <c r="T32" s="259">
        <f>T30/T7</f>
        <v>7.0722801450000015</v>
      </c>
      <c r="U32" s="257" t="s">
        <v>164</v>
      </c>
      <c r="V32" s="259">
        <f>V30/V7</f>
        <v>3.4313636040384607</v>
      </c>
      <c r="W32" s="257" t="s">
        <v>164</v>
      </c>
      <c r="X32" s="143">
        <f>X30/X7</f>
        <v>3.6247081013636362</v>
      </c>
      <c r="Y32" s="145" t="s">
        <v>164</v>
      </c>
      <c r="Z32" s="101"/>
      <c r="AA32" s="101"/>
      <c r="AB32" s="101"/>
      <c r="BB32" s="102"/>
      <c r="BC32" s="102"/>
    </row>
    <row r="33" spans="1:55" x14ac:dyDescent="0.2">
      <c r="A33" s="109" t="s">
        <v>166</v>
      </c>
      <c r="B33" s="348"/>
      <c r="C33" s="324"/>
      <c r="D33" s="326"/>
      <c r="E33" s="326"/>
      <c r="F33" s="326"/>
      <c r="G33" s="326"/>
      <c r="H33" s="326"/>
      <c r="I33" s="326"/>
      <c r="J33" s="324"/>
      <c r="K33" s="324"/>
      <c r="L33" s="326"/>
      <c r="M33" s="326"/>
      <c r="N33" s="348"/>
      <c r="O33" s="324"/>
      <c r="P33" s="326"/>
      <c r="Q33" s="326"/>
      <c r="R33" s="326"/>
      <c r="S33" s="326"/>
      <c r="T33" s="326"/>
      <c r="U33" s="326"/>
      <c r="V33" s="326"/>
      <c r="W33" s="326"/>
      <c r="X33" s="324"/>
      <c r="Y33" s="325"/>
      <c r="Z33" s="101"/>
      <c r="AA33" s="101"/>
      <c r="AB33" s="101"/>
      <c r="BB33" s="102"/>
      <c r="BC33" s="102"/>
    </row>
    <row r="34" spans="1:55" x14ac:dyDescent="0.2">
      <c r="A34" s="106" t="s">
        <v>19</v>
      </c>
      <c r="B34" s="306">
        <f>1.05*114.01425</f>
        <v>119.71496250000001</v>
      </c>
      <c r="C34" s="307"/>
      <c r="D34" s="297">
        <f>54.18+79.62</f>
        <v>133.80000000000001</v>
      </c>
      <c r="E34" s="297"/>
      <c r="F34" s="297">
        <f>29.48+36.46</f>
        <v>65.94</v>
      </c>
      <c r="G34" s="297"/>
      <c r="H34" s="297">
        <f>21.97+33.46</f>
        <v>55.43</v>
      </c>
      <c r="I34" s="297"/>
      <c r="J34" s="307">
        <f>29.81+33.55</f>
        <v>63.36</v>
      </c>
      <c r="K34" s="307"/>
      <c r="L34" s="297">
        <f>47.42+22.01</f>
        <v>69.430000000000007</v>
      </c>
      <c r="M34" s="297"/>
      <c r="N34" s="306">
        <f>1.05*107.521</f>
        <v>112.89705000000001</v>
      </c>
      <c r="O34" s="307"/>
      <c r="P34" s="297">
        <f>54.18+79.62</f>
        <v>133.80000000000001</v>
      </c>
      <c r="Q34" s="297"/>
      <c r="R34" s="297">
        <f>29.48+36.46</f>
        <v>65.94</v>
      </c>
      <c r="S34" s="297"/>
      <c r="T34" s="297">
        <f>21.97+33.46</f>
        <v>55.43</v>
      </c>
      <c r="U34" s="297"/>
      <c r="V34" s="294">
        <f>29.81+33.55</f>
        <v>63.36</v>
      </c>
      <c r="W34" s="295"/>
      <c r="X34" s="307">
        <f>16.25+21.11</f>
        <v>37.36</v>
      </c>
      <c r="Y34" s="312"/>
      <c r="Z34" s="101"/>
      <c r="AA34" s="101"/>
      <c r="AB34" s="101"/>
      <c r="BB34" s="102"/>
      <c r="BC34" s="102"/>
    </row>
    <row r="35" spans="1:55" x14ac:dyDescent="0.2">
      <c r="A35" s="106" t="s">
        <v>12</v>
      </c>
      <c r="B35" s="306">
        <v>125</v>
      </c>
      <c r="C35" s="307"/>
      <c r="D35" s="297">
        <v>125</v>
      </c>
      <c r="E35" s="297"/>
      <c r="F35" s="297">
        <v>125</v>
      </c>
      <c r="G35" s="297"/>
      <c r="H35" s="297">
        <v>125</v>
      </c>
      <c r="I35" s="297"/>
      <c r="J35" s="307">
        <v>125</v>
      </c>
      <c r="K35" s="307"/>
      <c r="L35" s="297">
        <v>125</v>
      </c>
      <c r="M35" s="297"/>
      <c r="N35" s="306"/>
      <c r="O35" s="307"/>
      <c r="P35" s="297"/>
      <c r="Q35" s="297"/>
      <c r="R35" s="297"/>
      <c r="S35" s="297"/>
      <c r="T35" s="297"/>
      <c r="U35" s="297"/>
      <c r="V35" s="297"/>
      <c r="W35" s="297"/>
      <c r="X35" s="307"/>
      <c r="Y35" s="312"/>
      <c r="Z35" s="101"/>
      <c r="AA35" s="101"/>
      <c r="AB35" s="101"/>
      <c r="BB35" s="102"/>
      <c r="BC35" s="102"/>
    </row>
    <row r="36" spans="1:55" x14ac:dyDescent="0.2">
      <c r="A36" s="106" t="s">
        <v>20</v>
      </c>
      <c r="B36" s="306"/>
      <c r="C36" s="307"/>
      <c r="D36" s="297"/>
      <c r="E36" s="297"/>
      <c r="F36" s="297"/>
      <c r="G36" s="297"/>
      <c r="H36" s="297"/>
      <c r="I36" s="297"/>
      <c r="J36" s="307"/>
      <c r="K36" s="307"/>
      <c r="L36" s="297"/>
      <c r="M36" s="297"/>
      <c r="N36" s="306"/>
      <c r="O36" s="307"/>
      <c r="P36" s="297"/>
      <c r="Q36" s="297"/>
      <c r="R36" s="297"/>
      <c r="S36" s="297"/>
      <c r="T36" s="297"/>
      <c r="U36" s="297"/>
      <c r="V36" s="297"/>
      <c r="W36" s="297"/>
      <c r="X36" s="307"/>
      <c r="Y36" s="312"/>
      <c r="Z36" s="101"/>
      <c r="AA36" s="101"/>
      <c r="AB36" s="101"/>
      <c r="BB36" s="102"/>
      <c r="BC36" s="102"/>
    </row>
    <row r="37" spans="1:55" x14ac:dyDescent="0.2">
      <c r="A37" s="106" t="s">
        <v>21</v>
      </c>
      <c r="B37" s="308">
        <f>0.05*B30</f>
        <v>26.185748413158144</v>
      </c>
      <c r="C37" s="309"/>
      <c r="D37" s="298">
        <f>0.05*D30</f>
        <v>32.642898750000001</v>
      </c>
      <c r="E37" s="298"/>
      <c r="F37" s="298">
        <f>0.05*F30</f>
        <v>33.121847500000001</v>
      </c>
      <c r="G37" s="298"/>
      <c r="H37" s="298">
        <f>0.05*H30</f>
        <v>14.693128572500001</v>
      </c>
      <c r="I37" s="298"/>
      <c r="J37" s="309">
        <f>0.05*J30</f>
        <v>17.473171916666669</v>
      </c>
      <c r="K37" s="309"/>
      <c r="L37" s="298">
        <f>0.05*L30</f>
        <v>16.142091121874998</v>
      </c>
      <c r="M37" s="298"/>
      <c r="N37" s="308">
        <f>0.05*N30</f>
        <v>21.138513330587116</v>
      </c>
      <c r="O37" s="309"/>
      <c r="P37" s="298">
        <f>0.05*P30</f>
        <v>27.513841250000002</v>
      </c>
      <c r="Q37" s="298"/>
      <c r="R37" s="298">
        <f>0.05*R30</f>
        <v>15.654731448124998</v>
      </c>
      <c r="S37" s="298"/>
      <c r="T37" s="298">
        <f>0.05*T30</f>
        <v>10.608420217500003</v>
      </c>
      <c r="U37" s="298"/>
      <c r="V37" s="298">
        <f>0.05*V30</f>
        <v>11.151931713124998</v>
      </c>
      <c r="W37" s="298"/>
      <c r="X37" s="309">
        <f>0.05*X30</f>
        <v>9.9679472787499996</v>
      </c>
      <c r="Y37" s="320"/>
      <c r="Z37" s="101"/>
      <c r="AA37" s="101"/>
      <c r="AB37" s="101"/>
      <c r="BB37" s="102"/>
      <c r="BC37" s="102"/>
    </row>
    <row r="38" spans="1:55" x14ac:dyDescent="0.2">
      <c r="A38" s="124" t="s">
        <v>167</v>
      </c>
      <c r="B38" s="310">
        <f t="shared" ref="B38:X38" si="3">SUM(B34:B37)</f>
        <v>270.90071091315815</v>
      </c>
      <c r="C38" s="311"/>
      <c r="D38" s="299">
        <f t="shared" si="3"/>
        <v>291.44289875000004</v>
      </c>
      <c r="E38" s="299"/>
      <c r="F38" s="299">
        <f t="shared" si="3"/>
        <v>224.0618475</v>
      </c>
      <c r="G38" s="299"/>
      <c r="H38" s="299">
        <f t="shared" si="3"/>
        <v>195.12312857250001</v>
      </c>
      <c r="I38" s="299"/>
      <c r="J38" s="311">
        <f t="shared" si="3"/>
        <v>205.83317191666669</v>
      </c>
      <c r="K38" s="311"/>
      <c r="L38" s="299">
        <f>SUM(L34:L37)</f>
        <v>210.57209112187502</v>
      </c>
      <c r="M38" s="299"/>
      <c r="N38" s="310">
        <f t="shared" si="3"/>
        <v>134.03556333058714</v>
      </c>
      <c r="O38" s="311"/>
      <c r="P38" s="299">
        <f t="shared" si="3"/>
        <v>161.31384125000002</v>
      </c>
      <c r="Q38" s="299"/>
      <c r="R38" s="299">
        <f t="shared" si="3"/>
        <v>81.594731448125003</v>
      </c>
      <c r="S38" s="299"/>
      <c r="T38" s="299">
        <f t="shared" si="3"/>
        <v>66.038420217500004</v>
      </c>
      <c r="U38" s="299"/>
      <c r="V38" s="299">
        <f t="shared" si="3"/>
        <v>74.511931713124994</v>
      </c>
      <c r="W38" s="299"/>
      <c r="X38" s="311">
        <f t="shared" si="3"/>
        <v>47.327947278750003</v>
      </c>
      <c r="Y38" s="315"/>
      <c r="Z38" s="101"/>
      <c r="AA38" s="101"/>
      <c r="AB38" s="101"/>
      <c r="BB38" s="102"/>
      <c r="BC38" s="102"/>
    </row>
    <row r="39" spans="1:55" x14ac:dyDescent="0.2">
      <c r="A39" s="106"/>
      <c r="B39" s="148"/>
      <c r="C39" s="149"/>
      <c r="D39" s="300"/>
      <c r="E39" s="300"/>
      <c r="F39" s="300"/>
      <c r="G39" s="300"/>
      <c r="H39" s="300"/>
      <c r="I39" s="300"/>
      <c r="J39" s="313"/>
      <c r="K39" s="313"/>
      <c r="L39" s="300"/>
      <c r="M39" s="300"/>
      <c r="N39" s="350"/>
      <c r="O39" s="313"/>
      <c r="P39" s="300"/>
      <c r="Q39" s="300"/>
      <c r="R39" s="300"/>
      <c r="S39" s="300"/>
      <c r="T39" s="300"/>
      <c r="U39" s="300"/>
      <c r="V39" s="300"/>
      <c r="W39" s="300"/>
      <c r="X39" s="313"/>
      <c r="Y39" s="314"/>
      <c r="Z39" s="101"/>
      <c r="AA39" s="101"/>
      <c r="AB39" s="101"/>
      <c r="BB39" s="102"/>
      <c r="BC39" s="102"/>
    </row>
    <row r="40" spans="1:55" ht="13.5" thickBot="1" x14ac:dyDescent="0.25">
      <c r="A40" s="138" t="s">
        <v>168</v>
      </c>
      <c r="B40" s="319">
        <f>B38+B30</f>
        <v>794.61567917632101</v>
      </c>
      <c r="C40" s="318"/>
      <c r="D40" s="301">
        <f>D38+D30</f>
        <v>944.30087375000005</v>
      </c>
      <c r="E40" s="301"/>
      <c r="F40" s="301">
        <f>F38+F30</f>
        <v>886.49879750000002</v>
      </c>
      <c r="G40" s="301"/>
      <c r="H40" s="301">
        <f>H38+H30</f>
        <v>488.98570002250005</v>
      </c>
      <c r="I40" s="301"/>
      <c r="J40" s="318">
        <f>J38+J30</f>
        <v>555.29661024999996</v>
      </c>
      <c r="K40" s="318"/>
      <c r="L40" s="301">
        <f>L38+L30</f>
        <v>533.41391355937503</v>
      </c>
      <c r="M40" s="301"/>
      <c r="N40" s="319">
        <f>N38+N30</f>
        <v>556.80582994232941</v>
      </c>
      <c r="O40" s="318"/>
      <c r="P40" s="301">
        <f>P38+P30</f>
        <v>711.59066625000003</v>
      </c>
      <c r="Q40" s="301"/>
      <c r="R40" s="301">
        <f>R38+R30</f>
        <v>394.68936041062494</v>
      </c>
      <c r="S40" s="301"/>
      <c r="T40" s="301">
        <f>T38+T30</f>
        <v>278.20682456750001</v>
      </c>
      <c r="U40" s="301"/>
      <c r="V40" s="301">
        <f>V38+V30</f>
        <v>297.55056597562498</v>
      </c>
      <c r="W40" s="301"/>
      <c r="X40" s="318">
        <f>X38+X30</f>
        <v>246.68689285374998</v>
      </c>
      <c r="Y40" s="322"/>
      <c r="Z40" s="101"/>
      <c r="AA40" s="101"/>
      <c r="AB40" s="101"/>
      <c r="BB40" s="102"/>
      <c r="BC40" s="102"/>
    </row>
    <row r="41" spans="1:55" s="184" customFormat="1" ht="13.5" thickBot="1" x14ac:dyDescent="0.25">
      <c r="A41" s="153" t="s">
        <v>169</v>
      </c>
      <c r="B41" s="316">
        <f>B9-B40</f>
        <v>45.384320823678991</v>
      </c>
      <c r="C41" s="317"/>
      <c r="D41" s="305">
        <f>D9-D40</f>
        <v>-4.3008737500000507</v>
      </c>
      <c r="E41" s="305"/>
      <c r="F41" s="305">
        <f>F9-F40</f>
        <v>-36.498797500000023</v>
      </c>
      <c r="G41" s="305"/>
      <c r="H41" s="305">
        <f>H9-H40</f>
        <v>96.014299977499945</v>
      </c>
      <c r="I41" s="305"/>
      <c r="J41" s="317">
        <f>J9-J40</f>
        <v>-175.29661024999996</v>
      </c>
      <c r="K41" s="317"/>
      <c r="L41" s="305">
        <f>L9-L40</f>
        <v>-139.66391355937503</v>
      </c>
      <c r="M41" s="305"/>
      <c r="N41" s="316">
        <f>N9-N40</f>
        <v>-31.80582994232941</v>
      </c>
      <c r="O41" s="317"/>
      <c r="P41" s="305">
        <f>P9-P40</f>
        <v>-31.590666250000027</v>
      </c>
      <c r="Q41" s="305"/>
      <c r="R41" s="305">
        <f>R9-R40</f>
        <v>-33.439360410624943</v>
      </c>
      <c r="S41" s="305"/>
      <c r="T41" s="305">
        <f>T9-T40</f>
        <v>14.293175432499993</v>
      </c>
      <c r="U41" s="305"/>
      <c r="V41" s="305">
        <f>V9-V40</f>
        <v>-50.550565975624977</v>
      </c>
      <c r="W41" s="305"/>
      <c r="X41" s="317">
        <f>X9-X40</f>
        <v>42.063107146250019</v>
      </c>
      <c r="Y41" s="32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</row>
    <row r="42" spans="1:55" ht="13.5" thickTop="1" x14ac:dyDescent="0.2">
      <c r="A42" s="106"/>
      <c r="B42" s="154"/>
      <c r="C42" s="155"/>
      <c r="D42" s="302"/>
      <c r="E42" s="302"/>
      <c r="F42" s="292"/>
      <c r="G42" s="293"/>
      <c r="H42" s="292"/>
      <c r="I42" s="293"/>
      <c r="J42" s="155"/>
      <c r="K42" s="155"/>
      <c r="L42" s="292"/>
      <c r="M42" s="293"/>
      <c r="N42" s="303"/>
      <c r="O42" s="304"/>
      <c r="P42" s="302"/>
      <c r="Q42" s="302"/>
      <c r="R42" s="302"/>
      <c r="S42" s="302"/>
      <c r="T42" s="302"/>
      <c r="U42" s="302"/>
      <c r="V42" s="302"/>
      <c r="W42" s="302"/>
      <c r="X42" s="304"/>
      <c r="Y42" s="321"/>
      <c r="Z42" s="101"/>
      <c r="AA42" s="101"/>
      <c r="AB42" s="101"/>
      <c r="BB42" s="102"/>
      <c r="BC42" s="102"/>
    </row>
    <row r="43" spans="1:55" x14ac:dyDescent="0.2">
      <c r="A43" s="140" t="s">
        <v>34</v>
      </c>
      <c r="B43" s="185">
        <f>B40/B7</f>
        <v>0.66217973264693419</v>
      </c>
      <c r="C43" s="159" t="s">
        <v>161</v>
      </c>
      <c r="D43" s="261">
        <f>D40/D7*2000</f>
        <v>401.83015904255319</v>
      </c>
      <c r="E43" s="263" t="s">
        <v>162</v>
      </c>
      <c r="F43" s="262">
        <f>F40/F7</f>
        <v>4.4324939875</v>
      </c>
      <c r="G43" s="263" t="s">
        <v>164</v>
      </c>
      <c r="H43" s="262">
        <f>H40/H7</f>
        <v>8.1497616670416679</v>
      </c>
      <c r="I43" s="263" t="s">
        <v>164</v>
      </c>
      <c r="J43" s="262">
        <f>J40/J7</f>
        <v>5.5529661024999992</v>
      </c>
      <c r="K43" s="257" t="s">
        <v>164</v>
      </c>
      <c r="L43" s="143">
        <f>L40/L7</f>
        <v>7.1121855141250006</v>
      </c>
      <c r="M43" s="144" t="s">
        <v>164</v>
      </c>
      <c r="N43" s="160">
        <f>N40/N7</f>
        <v>0.74240777325643925</v>
      </c>
      <c r="O43" s="159" t="s">
        <v>161</v>
      </c>
      <c r="P43" s="258">
        <f>P40/P7*2000</f>
        <v>418.58274485294118</v>
      </c>
      <c r="Q43" s="257" t="s">
        <v>162</v>
      </c>
      <c r="R43" s="259">
        <f>R40/R7</f>
        <v>4.6434042401249993</v>
      </c>
      <c r="S43" s="257" t="s">
        <v>164</v>
      </c>
      <c r="T43" s="259">
        <f>T40/T7</f>
        <v>9.2735608189166676</v>
      </c>
      <c r="U43" s="257" t="s">
        <v>164</v>
      </c>
      <c r="V43" s="259">
        <f>V40/V7</f>
        <v>4.5777010150096151</v>
      </c>
      <c r="W43" s="257" t="s">
        <v>164</v>
      </c>
      <c r="X43" s="160">
        <f>X40/X7</f>
        <v>4.4852162337045449</v>
      </c>
      <c r="Y43" s="145" t="s">
        <v>164</v>
      </c>
      <c r="Z43" s="101"/>
      <c r="AA43" s="101"/>
      <c r="AB43" s="101"/>
      <c r="BA43" s="102"/>
      <c r="BB43" s="102"/>
      <c r="BC43" s="102"/>
    </row>
    <row r="44" spans="1:55" x14ac:dyDescent="0.2">
      <c r="A44" s="161" t="s">
        <v>170</v>
      </c>
      <c r="B44" s="162">
        <f>B40/B8</f>
        <v>1135.1652559661729</v>
      </c>
      <c r="C44" s="163" t="s">
        <v>160</v>
      </c>
      <c r="D44" s="264">
        <f>D40/D8*2000</f>
        <v>4721.504368750001</v>
      </c>
      <c r="E44" s="260" t="s">
        <v>160</v>
      </c>
      <c r="F44" s="265">
        <f>F40/F8</f>
        <v>208.58795235294119</v>
      </c>
      <c r="G44" s="257" t="s">
        <v>163</v>
      </c>
      <c r="H44" s="265">
        <f>H40/H8</f>
        <v>50.152379489487188</v>
      </c>
      <c r="I44" s="257" t="s">
        <v>163</v>
      </c>
      <c r="J44" s="265">
        <f>J40/J8</f>
        <v>146.13068690789473</v>
      </c>
      <c r="K44" s="291" t="s">
        <v>163</v>
      </c>
      <c r="L44" s="164">
        <f>L40/L8</f>
        <v>101.60265020178572</v>
      </c>
      <c r="M44" s="144" t="s">
        <v>163</v>
      </c>
      <c r="N44" s="164">
        <f>N40/N8</f>
        <v>795.43689991761346</v>
      </c>
      <c r="O44" s="163" t="s">
        <v>160</v>
      </c>
      <c r="P44" s="264">
        <f>P40/P8*2000</f>
        <v>3557.9533312500002</v>
      </c>
      <c r="Q44" s="260" t="s">
        <v>160</v>
      </c>
      <c r="R44" s="265">
        <f>R40/R8</f>
        <v>92.868084802499993</v>
      </c>
      <c r="S44" s="257" t="s">
        <v>163</v>
      </c>
      <c r="T44" s="265">
        <f>T40/T8</f>
        <v>28.53403328897436</v>
      </c>
      <c r="U44" s="257" t="s">
        <v>163</v>
      </c>
      <c r="V44" s="265">
        <f>V40/V8</f>
        <v>78.302780519901319</v>
      </c>
      <c r="W44" s="257" t="s">
        <v>163</v>
      </c>
      <c r="X44" s="164">
        <f>X40/X8</f>
        <v>46.987979591190474</v>
      </c>
      <c r="Y44" s="145" t="s">
        <v>163</v>
      </c>
      <c r="Z44" s="101"/>
      <c r="AA44" s="101"/>
      <c r="AB44" s="101"/>
      <c r="BA44" s="102"/>
      <c r="BB44" s="102"/>
      <c r="BC44" s="102"/>
    </row>
    <row r="45" spans="1:55" x14ac:dyDescent="0.2">
      <c r="A45" s="166" t="s">
        <v>180</v>
      </c>
      <c r="B45" s="101"/>
      <c r="C45" s="256" t="s">
        <v>171</v>
      </c>
      <c r="D45" s="186">
        <v>0.62</v>
      </c>
      <c r="E45" s="187" t="s">
        <v>65</v>
      </c>
      <c r="F45" s="186">
        <v>0.43</v>
      </c>
      <c r="G45" s="187" t="s">
        <v>66</v>
      </c>
      <c r="H45" s="252">
        <v>0.41</v>
      </c>
      <c r="I45" s="101"/>
      <c r="J45" s="101"/>
      <c r="K45" s="255"/>
      <c r="L45" s="255"/>
      <c r="M45" s="255"/>
      <c r="N45" s="101"/>
      <c r="O45" s="101"/>
      <c r="P45" s="101"/>
      <c r="Q45" s="255"/>
      <c r="R45" s="188"/>
      <c r="S45" s="188"/>
      <c r="T45" s="166"/>
      <c r="U45" s="166"/>
      <c r="V45" s="166"/>
      <c r="W45" s="166"/>
      <c r="X45" s="166"/>
      <c r="Y45" s="166"/>
      <c r="Z45" s="189"/>
      <c r="AA45" s="101"/>
      <c r="AB45" s="101"/>
      <c r="BC45" s="102"/>
    </row>
    <row r="46" spans="1:55" x14ac:dyDescent="0.2">
      <c r="A46" s="98" t="s">
        <v>181</v>
      </c>
      <c r="B46" s="266">
        <v>2.9</v>
      </c>
      <c r="C46" s="296" t="s">
        <v>67</v>
      </c>
      <c r="D46" s="296"/>
      <c r="E46" s="296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190"/>
      <c r="AA46" s="101"/>
      <c r="AB46" s="101"/>
      <c r="BC46" s="102"/>
    </row>
    <row r="47" spans="1:55" x14ac:dyDescent="0.2">
      <c r="A47" s="296" t="s">
        <v>179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191"/>
      <c r="AB47" s="101"/>
    </row>
    <row r="48" spans="1:55" x14ac:dyDescent="0.2">
      <c r="A48" s="95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</row>
    <row r="49" spans="1:1" s="101" customFormat="1" x14ac:dyDescent="0.2">
      <c r="A49" s="95"/>
    </row>
    <row r="50" spans="1:1" s="101" customFormat="1" x14ac:dyDescent="0.2">
      <c r="A50" s="95"/>
    </row>
    <row r="51" spans="1:1" s="101" customFormat="1" x14ac:dyDescent="0.2">
      <c r="A51" s="95"/>
    </row>
    <row r="52" spans="1:1" s="101" customFormat="1" x14ac:dyDescent="0.2">
      <c r="A52" s="95"/>
    </row>
    <row r="53" spans="1:1" s="101" customFormat="1" x14ac:dyDescent="0.2">
      <c r="A53" s="95"/>
    </row>
    <row r="54" spans="1:1" s="101" customFormat="1" x14ac:dyDescent="0.2">
      <c r="A54" s="95"/>
    </row>
    <row r="55" spans="1:1" s="101" customFormat="1" x14ac:dyDescent="0.2">
      <c r="A55" s="95"/>
    </row>
    <row r="56" spans="1:1" s="101" customFormat="1" x14ac:dyDescent="0.2">
      <c r="A56" s="95"/>
    </row>
    <row r="57" spans="1:1" s="101" customFormat="1" x14ac:dyDescent="0.2">
      <c r="A57" s="95"/>
    </row>
    <row r="58" spans="1:1" s="101" customFormat="1" x14ac:dyDescent="0.2">
      <c r="A58" s="95"/>
    </row>
    <row r="59" spans="1:1" s="101" customFormat="1" x14ac:dyDescent="0.2">
      <c r="A59" s="95"/>
    </row>
    <row r="60" spans="1:1" s="101" customFormat="1" x14ac:dyDescent="0.2">
      <c r="A60" s="95"/>
    </row>
    <row r="61" spans="1:1" s="101" customFormat="1" x14ac:dyDescent="0.2">
      <c r="A61" s="95"/>
    </row>
    <row r="62" spans="1:1" s="101" customFormat="1" x14ac:dyDescent="0.2">
      <c r="A62" s="95"/>
    </row>
    <row r="63" spans="1:1" s="101" customFormat="1" x14ac:dyDescent="0.2">
      <c r="A63" s="95"/>
    </row>
    <row r="64" spans="1:1" s="101" customFormat="1" x14ac:dyDescent="0.2">
      <c r="A64" s="95"/>
    </row>
    <row r="65" spans="1:1" s="101" customFormat="1" x14ac:dyDescent="0.2">
      <c r="A65" s="95"/>
    </row>
    <row r="66" spans="1:1" s="101" customFormat="1" x14ac:dyDescent="0.2">
      <c r="A66" s="95"/>
    </row>
    <row r="67" spans="1:1" s="101" customFormat="1" x14ac:dyDescent="0.2">
      <c r="A67" s="95"/>
    </row>
    <row r="68" spans="1:1" s="101" customFormat="1" x14ac:dyDescent="0.2">
      <c r="A68" s="95"/>
    </row>
    <row r="69" spans="1:1" s="101" customFormat="1" x14ac:dyDescent="0.2">
      <c r="A69" s="95"/>
    </row>
    <row r="70" spans="1:1" s="101" customFormat="1" x14ac:dyDescent="0.2">
      <c r="A70" s="95"/>
    </row>
    <row r="71" spans="1:1" s="101" customFormat="1" x14ac:dyDescent="0.2">
      <c r="A71" s="95"/>
    </row>
    <row r="72" spans="1:1" s="101" customFormat="1" x14ac:dyDescent="0.2">
      <c r="A72" s="95"/>
    </row>
    <row r="73" spans="1:1" s="101" customFormat="1" x14ac:dyDescent="0.2">
      <c r="A73" s="95"/>
    </row>
    <row r="74" spans="1:1" s="101" customFormat="1" x14ac:dyDescent="0.2">
      <c r="A74" s="95"/>
    </row>
    <row r="75" spans="1:1" s="101" customFormat="1" x14ac:dyDescent="0.2">
      <c r="A75" s="95"/>
    </row>
    <row r="76" spans="1:1" s="101" customFormat="1" x14ac:dyDescent="0.2">
      <c r="A76" s="95"/>
    </row>
    <row r="77" spans="1:1" s="101" customFormat="1" x14ac:dyDescent="0.2">
      <c r="A77" s="95"/>
    </row>
    <row r="78" spans="1:1" s="101" customFormat="1" x14ac:dyDescent="0.2">
      <c r="A78" s="95"/>
    </row>
    <row r="79" spans="1:1" s="101" customFormat="1" x14ac:dyDescent="0.2">
      <c r="A79" s="95"/>
    </row>
    <row r="80" spans="1:1" s="101" customFormat="1" x14ac:dyDescent="0.2">
      <c r="A80" s="95"/>
    </row>
    <row r="81" spans="1:1" s="101" customFormat="1" x14ac:dyDescent="0.2">
      <c r="A81" s="95"/>
    </row>
    <row r="82" spans="1:1" s="101" customFormat="1" x14ac:dyDescent="0.2">
      <c r="A82" s="95"/>
    </row>
    <row r="83" spans="1:1" s="101" customFormat="1" x14ac:dyDescent="0.2">
      <c r="A83" s="95"/>
    </row>
    <row r="84" spans="1:1" s="101" customFormat="1" x14ac:dyDescent="0.2">
      <c r="A84" s="95"/>
    </row>
    <row r="85" spans="1:1" s="101" customFormat="1" x14ac:dyDescent="0.2">
      <c r="A85" s="95"/>
    </row>
    <row r="86" spans="1:1" s="101" customFormat="1" x14ac:dyDescent="0.2">
      <c r="A86" s="95"/>
    </row>
    <row r="87" spans="1:1" s="101" customFormat="1" x14ac:dyDescent="0.2">
      <c r="A87" s="95"/>
    </row>
    <row r="88" spans="1:1" s="101" customFormat="1" x14ac:dyDescent="0.2">
      <c r="A88" s="95"/>
    </row>
    <row r="89" spans="1:1" s="101" customFormat="1" x14ac:dyDescent="0.2">
      <c r="A89" s="95"/>
    </row>
    <row r="90" spans="1:1" s="101" customFormat="1" x14ac:dyDescent="0.2">
      <c r="A90" s="95"/>
    </row>
    <row r="91" spans="1:1" s="101" customFormat="1" x14ac:dyDescent="0.2">
      <c r="A91" s="95"/>
    </row>
    <row r="92" spans="1:1" s="101" customFormat="1" x14ac:dyDescent="0.2">
      <c r="A92" s="95"/>
    </row>
    <row r="93" spans="1:1" s="101" customFormat="1" x14ac:dyDescent="0.2">
      <c r="A93" s="95"/>
    </row>
    <row r="94" spans="1:1" s="101" customFormat="1" x14ac:dyDescent="0.2">
      <c r="A94" s="95"/>
    </row>
    <row r="95" spans="1:1" s="101" customFormat="1" x14ac:dyDescent="0.2">
      <c r="A95" s="95"/>
    </row>
    <row r="96" spans="1:1" s="101" customFormat="1" x14ac:dyDescent="0.2">
      <c r="A96" s="95"/>
    </row>
    <row r="97" spans="1:1" s="101" customFormat="1" x14ac:dyDescent="0.2">
      <c r="A97" s="95"/>
    </row>
    <row r="98" spans="1:1" s="101" customFormat="1" x14ac:dyDescent="0.2">
      <c r="A98" s="95"/>
    </row>
    <row r="99" spans="1:1" s="101" customFormat="1" x14ac:dyDescent="0.2">
      <c r="A99" s="95"/>
    </row>
    <row r="100" spans="1:1" s="101" customFormat="1" x14ac:dyDescent="0.2">
      <c r="A100" s="95"/>
    </row>
    <row r="101" spans="1:1" s="101" customFormat="1" x14ac:dyDescent="0.2">
      <c r="A101" s="95"/>
    </row>
    <row r="102" spans="1:1" s="101" customFormat="1" x14ac:dyDescent="0.2">
      <c r="A102" s="95"/>
    </row>
    <row r="103" spans="1:1" s="101" customFormat="1" x14ac:dyDescent="0.2">
      <c r="A103" s="95"/>
    </row>
    <row r="104" spans="1:1" s="101" customFormat="1" x14ac:dyDescent="0.2">
      <c r="A104" s="95"/>
    </row>
    <row r="105" spans="1:1" s="101" customFormat="1" x14ac:dyDescent="0.2">
      <c r="A105" s="95"/>
    </row>
    <row r="106" spans="1:1" s="101" customFormat="1" x14ac:dyDescent="0.2">
      <c r="A106" s="95"/>
    </row>
    <row r="107" spans="1:1" s="101" customFormat="1" x14ac:dyDescent="0.2">
      <c r="A107" s="95"/>
    </row>
    <row r="108" spans="1:1" s="101" customFormat="1" x14ac:dyDescent="0.2">
      <c r="A108" s="95"/>
    </row>
    <row r="109" spans="1:1" s="101" customFormat="1" x14ac:dyDescent="0.2">
      <c r="A109" s="95"/>
    </row>
    <row r="110" spans="1:1" s="101" customFormat="1" x14ac:dyDescent="0.2">
      <c r="A110" s="95"/>
    </row>
    <row r="111" spans="1:1" s="101" customFormat="1" x14ac:dyDescent="0.2">
      <c r="A111" s="95"/>
    </row>
    <row r="112" spans="1:1" s="101" customFormat="1" x14ac:dyDescent="0.2">
      <c r="A112" s="95"/>
    </row>
    <row r="113" spans="1:1" s="101" customFormat="1" x14ac:dyDescent="0.2">
      <c r="A113" s="95"/>
    </row>
    <row r="114" spans="1:1" s="101" customFormat="1" x14ac:dyDescent="0.2">
      <c r="A114" s="95"/>
    </row>
    <row r="115" spans="1:1" s="101" customFormat="1" x14ac:dyDescent="0.2">
      <c r="A115" s="95"/>
    </row>
    <row r="116" spans="1:1" s="101" customFormat="1" x14ac:dyDescent="0.2">
      <c r="A116" s="95"/>
    </row>
    <row r="117" spans="1:1" s="101" customFormat="1" x14ac:dyDescent="0.2">
      <c r="A117" s="95"/>
    </row>
    <row r="118" spans="1:1" s="101" customFormat="1" x14ac:dyDescent="0.2">
      <c r="A118" s="95"/>
    </row>
    <row r="119" spans="1:1" s="101" customFormat="1" x14ac:dyDescent="0.2">
      <c r="A119" s="95"/>
    </row>
    <row r="120" spans="1:1" s="101" customFormat="1" x14ac:dyDescent="0.2">
      <c r="A120" s="95"/>
    </row>
    <row r="121" spans="1:1" s="101" customFormat="1" x14ac:dyDescent="0.2">
      <c r="A121" s="95"/>
    </row>
    <row r="122" spans="1:1" s="101" customFormat="1" x14ac:dyDescent="0.2">
      <c r="A122" s="95"/>
    </row>
    <row r="123" spans="1:1" s="101" customFormat="1" x14ac:dyDescent="0.2">
      <c r="A123" s="95"/>
    </row>
    <row r="124" spans="1:1" s="101" customFormat="1" x14ac:dyDescent="0.2">
      <c r="A124" s="95"/>
    </row>
    <row r="125" spans="1:1" s="101" customFormat="1" x14ac:dyDescent="0.2">
      <c r="A125" s="95"/>
    </row>
    <row r="126" spans="1:1" s="101" customFormat="1" x14ac:dyDescent="0.2">
      <c r="A126" s="95"/>
    </row>
    <row r="127" spans="1:1" s="101" customFormat="1" x14ac:dyDescent="0.2">
      <c r="A127" s="95"/>
    </row>
    <row r="128" spans="1:1" s="101" customFormat="1" x14ac:dyDescent="0.2">
      <c r="A128" s="95"/>
    </row>
    <row r="129" spans="1:1" s="101" customFormat="1" x14ac:dyDescent="0.2">
      <c r="A129" s="95"/>
    </row>
    <row r="130" spans="1:1" s="101" customFormat="1" x14ac:dyDescent="0.2">
      <c r="A130" s="95"/>
    </row>
    <row r="131" spans="1:1" s="101" customFormat="1" x14ac:dyDescent="0.2">
      <c r="A131" s="95"/>
    </row>
    <row r="132" spans="1:1" s="101" customFormat="1" x14ac:dyDescent="0.2">
      <c r="A132" s="95"/>
    </row>
    <row r="133" spans="1:1" s="101" customFormat="1" x14ac:dyDescent="0.2">
      <c r="A133" s="95"/>
    </row>
    <row r="134" spans="1:1" s="101" customFormat="1" x14ac:dyDescent="0.2">
      <c r="A134" s="95"/>
    </row>
    <row r="135" spans="1:1" s="101" customFormat="1" x14ac:dyDescent="0.2">
      <c r="A135" s="95"/>
    </row>
    <row r="136" spans="1:1" s="101" customFormat="1" x14ac:dyDescent="0.2">
      <c r="A136" s="95"/>
    </row>
    <row r="137" spans="1:1" s="101" customFormat="1" x14ac:dyDescent="0.2">
      <c r="A137" s="95"/>
    </row>
    <row r="138" spans="1:1" s="101" customFormat="1" x14ac:dyDescent="0.2">
      <c r="A138" s="95"/>
    </row>
    <row r="139" spans="1:1" s="101" customFormat="1" x14ac:dyDescent="0.2">
      <c r="A139" s="95"/>
    </row>
    <row r="140" spans="1:1" s="101" customFormat="1" x14ac:dyDescent="0.2">
      <c r="A140" s="95"/>
    </row>
    <row r="141" spans="1:1" s="101" customFormat="1" x14ac:dyDescent="0.2">
      <c r="A141" s="95"/>
    </row>
    <row r="142" spans="1:1" s="101" customFormat="1" x14ac:dyDescent="0.2">
      <c r="A142" s="95"/>
    </row>
    <row r="143" spans="1:1" s="101" customFormat="1" x14ac:dyDescent="0.2">
      <c r="A143" s="95"/>
    </row>
    <row r="144" spans="1:1" s="101" customFormat="1" x14ac:dyDescent="0.2">
      <c r="A144" s="95"/>
    </row>
    <row r="145" spans="1:1" s="101" customFormat="1" x14ac:dyDescent="0.2">
      <c r="A145" s="95"/>
    </row>
    <row r="146" spans="1:1" s="101" customFormat="1" x14ac:dyDescent="0.2">
      <c r="A146" s="95"/>
    </row>
    <row r="147" spans="1:1" s="101" customFormat="1" x14ac:dyDescent="0.2">
      <c r="A147" s="95"/>
    </row>
    <row r="148" spans="1:1" s="101" customFormat="1" x14ac:dyDescent="0.2">
      <c r="A148" s="95"/>
    </row>
    <row r="149" spans="1:1" s="101" customFormat="1" x14ac:dyDescent="0.2">
      <c r="A149" s="95"/>
    </row>
    <row r="150" spans="1:1" s="101" customFormat="1" x14ac:dyDescent="0.2">
      <c r="A150" s="95"/>
    </row>
    <row r="151" spans="1:1" s="101" customFormat="1" x14ac:dyDescent="0.2">
      <c r="A151" s="95"/>
    </row>
    <row r="152" spans="1:1" s="101" customFormat="1" x14ac:dyDescent="0.2">
      <c r="A152" s="95"/>
    </row>
    <row r="153" spans="1:1" s="101" customFormat="1" x14ac:dyDescent="0.2">
      <c r="A153" s="95"/>
    </row>
    <row r="154" spans="1:1" s="101" customFormat="1" x14ac:dyDescent="0.2">
      <c r="A154" s="95"/>
    </row>
    <row r="155" spans="1:1" s="101" customFormat="1" x14ac:dyDescent="0.2">
      <c r="A155" s="95"/>
    </row>
    <row r="156" spans="1:1" s="101" customFormat="1" x14ac:dyDescent="0.2">
      <c r="A156" s="95"/>
    </row>
    <row r="157" spans="1:1" s="101" customFormat="1" x14ac:dyDescent="0.2">
      <c r="A157" s="95"/>
    </row>
    <row r="158" spans="1:1" s="101" customFormat="1" x14ac:dyDescent="0.2">
      <c r="A158" s="95"/>
    </row>
    <row r="159" spans="1:1" s="101" customFormat="1" x14ac:dyDescent="0.2">
      <c r="A159" s="95"/>
    </row>
    <row r="160" spans="1:1" s="101" customFormat="1" x14ac:dyDescent="0.2">
      <c r="A160" s="95"/>
    </row>
    <row r="161" spans="1:1" s="101" customFormat="1" x14ac:dyDescent="0.2">
      <c r="A161" s="95"/>
    </row>
    <row r="162" spans="1:1" s="101" customFormat="1" x14ac:dyDescent="0.2">
      <c r="A162" s="95"/>
    </row>
    <row r="163" spans="1:1" s="101" customFormat="1" x14ac:dyDescent="0.2">
      <c r="A163" s="95"/>
    </row>
    <row r="164" spans="1:1" s="101" customFormat="1" x14ac:dyDescent="0.2">
      <c r="A164" s="95"/>
    </row>
    <row r="165" spans="1:1" s="101" customFormat="1" x14ac:dyDescent="0.2">
      <c r="A165" s="95"/>
    </row>
    <row r="166" spans="1:1" s="101" customFormat="1" x14ac:dyDescent="0.2">
      <c r="A166" s="95"/>
    </row>
    <row r="167" spans="1:1" s="101" customFormat="1" x14ac:dyDescent="0.2">
      <c r="A167" s="95"/>
    </row>
    <row r="168" spans="1:1" s="101" customFormat="1" x14ac:dyDescent="0.2">
      <c r="A168" s="95"/>
    </row>
    <row r="169" spans="1:1" s="101" customFormat="1" x14ac:dyDescent="0.2">
      <c r="A169" s="95"/>
    </row>
    <row r="170" spans="1:1" s="101" customFormat="1" x14ac:dyDescent="0.2">
      <c r="A170" s="95"/>
    </row>
    <row r="171" spans="1:1" s="101" customFormat="1" x14ac:dyDescent="0.2">
      <c r="A171" s="95"/>
    </row>
    <row r="172" spans="1:1" s="101" customFormat="1" x14ac:dyDescent="0.2">
      <c r="A172" s="95"/>
    </row>
    <row r="173" spans="1:1" s="101" customFormat="1" x14ac:dyDescent="0.2">
      <c r="A173" s="95"/>
    </row>
    <row r="174" spans="1:1" s="101" customFormat="1" x14ac:dyDescent="0.2">
      <c r="A174" s="95"/>
    </row>
    <row r="175" spans="1:1" s="101" customFormat="1" x14ac:dyDescent="0.2">
      <c r="A175" s="95"/>
    </row>
    <row r="176" spans="1:1" s="101" customFormat="1" x14ac:dyDescent="0.2">
      <c r="A176" s="95"/>
    </row>
    <row r="177" spans="1:1" s="101" customFormat="1" x14ac:dyDescent="0.2">
      <c r="A177" s="95"/>
    </row>
    <row r="178" spans="1:1" s="101" customFormat="1" x14ac:dyDescent="0.2">
      <c r="A178" s="95"/>
    </row>
    <row r="179" spans="1:1" s="101" customFormat="1" x14ac:dyDescent="0.2">
      <c r="A179" s="95"/>
    </row>
    <row r="180" spans="1:1" s="101" customFormat="1" x14ac:dyDescent="0.2">
      <c r="A180" s="95"/>
    </row>
    <row r="181" spans="1:1" s="101" customFormat="1" x14ac:dyDescent="0.2">
      <c r="A181" s="95"/>
    </row>
    <row r="182" spans="1:1" s="101" customFormat="1" x14ac:dyDescent="0.2">
      <c r="A182" s="95"/>
    </row>
    <row r="183" spans="1:1" s="101" customFormat="1" x14ac:dyDescent="0.2">
      <c r="A183" s="95"/>
    </row>
    <row r="184" spans="1:1" s="101" customFormat="1" x14ac:dyDescent="0.2">
      <c r="A184" s="95"/>
    </row>
    <row r="185" spans="1:1" s="101" customFormat="1" x14ac:dyDescent="0.2">
      <c r="A185" s="95"/>
    </row>
    <row r="186" spans="1:1" s="101" customFormat="1" x14ac:dyDescent="0.2">
      <c r="A186" s="95"/>
    </row>
    <row r="187" spans="1:1" s="101" customFormat="1" x14ac:dyDescent="0.2">
      <c r="A187" s="95"/>
    </row>
    <row r="188" spans="1:1" s="101" customFormat="1" x14ac:dyDescent="0.2">
      <c r="A188" s="95"/>
    </row>
    <row r="189" spans="1:1" s="101" customFormat="1" x14ac:dyDescent="0.2">
      <c r="A189" s="95"/>
    </row>
    <row r="190" spans="1:1" s="101" customFormat="1" x14ac:dyDescent="0.2">
      <c r="A190" s="95"/>
    </row>
    <row r="191" spans="1:1" s="101" customFormat="1" x14ac:dyDescent="0.2">
      <c r="A191" s="95"/>
    </row>
    <row r="192" spans="1:1" s="101" customFormat="1" x14ac:dyDescent="0.2">
      <c r="A192" s="95"/>
    </row>
    <row r="193" spans="1:1" s="101" customFormat="1" x14ac:dyDescent="0.2">
      <c r="A193" s="95"/>
    </row>
    <row r="194" spans="1:1" s="101" customFormat="1" x14ac:dyDescent="0.2">
      <c r="A194" s="95"/>
    </row>
    <row r="195" spans="1:1" s="101" customFormat="1" x14ac:dyDescent="0.2">
      <c r="A195" s="95"/>
    </row>
    <row r="196" spans="1:1" s="101" customFormat="1" x14ac:dyDescent="0.2">
      <c r="A196" s="95"/>
    </row>
    <row r="197" spans="1:1" s="101" customFormat="1" x14ac:dyDescent="0.2">
      <c r="A197" s="95"/>
    </row>
    <row r="198" spans="1:1" s="101" customFormat="1" x14ac:dyDescent="0.2">
      <c r="A198" s="95"/>
    </row>
    <row r="199" spans="1:1" s="101" customFormat="1" x14ac:dyDescent="0.2">
      <c r="A199" s="95"/>
    </row>
    <row r="200" spans="1:1" s="101" customFormat="1" x14ac:dyDescent="0.2">
      <c r="A200" s="95"/>
    </row>
    <row r="201" spans="1:1" s="101" customFormat="1" x14ac:dyDescent="0.2">
      <c r="A201" s="95"/>
    </row>
    <row r="202" spans="1:1" s="101" customFormat="1" x14ac:dyDescent="0.2">
      <c r="A202" s="95"/>
    </row>
    <row r="203" spans="1:1" s="101" customFormat="1" x14ac:dyDescent="0.2">
      <c r="A203" s="95"/>
    </row>
    <row r="204" spans="1:1" s="101" customFormat="1" x14ac:dyDescent="0.2">
      <c r="A204" s="95"/>
    </row>
    <row r="205" spans="1:1" s="101" customFormat="1" x14ac:dyDescent="0.2">
      <c r="A205" s="95"/>
    </row>
    <row r="206" spans="1:1" s="101" customFormat="1" x14ac:dyDescent="0.2">
      <c r="A206" s="95"/>
    </row>
    <row r="207" spans="1:1" s="101" customFormat="1" x14ac:dyDescent="0.2">
      <c r="A207" s="95"/>
    </row>
    <row r="208" spans="1:1" s="101" customFormat="1" x14ac:dyDescent="0.2">
      <c r="A208" s="95"/>
    </row>
    <row r="209" spans="1:1" s="101" customFormat="1" x14ac:dyDescent="0.2">
      <c r="A209" s="95"/>
    </row>
    <row r="210" spans="1:1" s="101" customFormat="1" x14ac:dyDescent="0.2">
      <c r="A210" s="95"/>
    </row>
    <row r="211" spans="1:1" s="101" customFormat="1" x14ac:dyDescent="0.2">
      <c r="A211" s="95"/>
    </row>
    <row r="212" spans="1:1" s="101" customFormat="1" x14ac:dyDescent="0.2">
      <c r="A212" s="95"/>
    </row>
    <row r="213" spans="1:1" s="101" customFormat="1" x14ac:dyDescent="0.2">
      <c r="A213" s="95"/>
    </row>
    <row r="214" spans="1:1" s="101" customFormat="1" x14ac:dyDescent="0.2">
      <c r="A214" s="95"/>
    </row>
    <row r="215" spans="1:1" s="101" customFormat="1" x14ac:dyDescent="0.2">
      <c r="A215" s="95"/>
    </row>
    <row r="216" spans="1:1" s="101" customFormat="1" x14ac:dyDescent="0.2">
      <c r="A216" s="95"/>
    </row>
    <row r="217" spans="1:1" s="101" customFormat="1" x14ac:dyDescent="0.2">
      <c r="A217" s="95"/>
    </row>
    <row r="218" spans="1:1" s="101" customFormat="1" x14ac:dyDescent="0.2">
      <c r="A218" s="95"/>
    </row>
    <row r="219" spans="1:1" s="101" customFormat="1" x14ac:dyDescent="0.2">
      <c r="A219" s="95"/>
    </row>
    <row r="220" spans="1:1" s="101" customFormat="1" x14ac:dyDescent="0.2">
      <c r="A220" s="95"/>
    </row>
    <row r="221" spans="1:1" s="101" customFormat="1" x14ac:dyDescent="0.2">
      <c r="A221" s="95"/>
    </row>
    <row r="222" spans="1:1" s="101" customFormat="1" x14ac:dyDescent="0.2">
      <c r="A222" s="95"/>
    </row>
    <row r="223" spans="1:1" s="101" customFormat="1" x14ac:dyDescent="0.2">
      <c r="A223" s="95"/>
    </row>
    <row r="224" spans="1:1" s="101" customFormat="1" x14ac:dyDescent="0.2">
      <c r="A224" s="95"/>
    </row>
    <row r="225" spans="1:1" s="101" customFormat="1" x14ac:dyDescent="0.2">
      <c r="A225" s="95"/>
    </row>
    <row r="226" spans="1:1" s="101" customFormat="1" x14ac:dyDescent="0.2">
      <c r="A226" s="95"/>
    </row>
    <row r="227" spans="1:1" s="101" customFormat="1" x14ac:dyDescent="0.2">
      <c r="A227" s="95"/>
    </row>
    <row r="228" spans="1:1" s="101" customFormat="1" x14ac:dyDescent="0.2">
      <c r="A228" s="95"/>
    </row>
    <row r="229" spans="1:1" s="101" customFormat="1" x14ac:dyDescent="0.2">
      <c r="A229" s="95"/>
    </row>
    <row r="230" spans="1:1" s="101" customFormat="1" x14ac:dyDescent="0.2">
      <c r="A230" s="95"/>
    </row>
    <row r="231" spans="1:1" s="101" customFormat="1" x14ac:dyDescent="0.2">
      <c r="A231" s="95"/>
    </row>
    <row r="232" spans="1:1" s="101" customFormat="1" x14ac:dyDescent="0.2">
      <c r="A232" s="95"/>
    </row>
    <row r="233" spans="1:1" s="101" customFormat="1" x14ac:dyDescent="0.2">
      <c r="A233" s="95"/>
    </row>
    <row r="234" spans="1:1" s="101" customFormat="1" x14ac:dyDescent="0.2">
      <c r="A234" s="95"/>
    </row>
    <row r="235" spans="1:1" s="101" customFormat="1" x14ac:dyDescent="0.2">
      <c r="A235" s="95"/>
    </row>
    <row r="236" spans="1:1" s="101" customFormat="1" x14ac:dyDescent="0.2">
      <c r="A236" s="95"/>
    </row>
    <row r="237" spans="1:1" s="101" customFormat="1" x14ac:dyDescent="0.2">
      <c r="A237" s="95"/>
    </row>
    <row r="238" spans="1:1" s="101" customFormat="1" x14ac:dyDescent="0.2">
      <c r="A238" s="95"/>
    </row>
    <row r="239" spans="1:1" s="101" customFormat="1" x14ac:dyDescent="0.2">
      <c r="A239" s="95"/>
    </row>
    <row r="240" spans="1:1" s="101" customFormat="1" x14ac:dyDescent="0.2">
      <c r="A240" s="95"/>
    </row>
    <row r="241" spans="1:1" s="101" customFormat="1" x14ac:dyDescent="0.2">
      <c r="A241" s="95"/>
    </row>
    <row r="242" spans="1:1" s="101" customFormat="1" x14ac:dyDescent="0.2">
      <c r="A242" s="95"/>
    </row>
    <row r="243" spans="1:1" s="101" customFormat="1" x14ac:dyDescent="0.2">
      <c r="A243" s="95"/>
    </row>
    <row r="244" spans="1:1" s="101" customFormat="1" x14ac:dyDescent="0.2">
      <c r="A244" s="95"/>
    </row>
    <row r="245" spans="1:1" s="101" customFormat="1" x14ac:dyDescent="0.2">
      <c r="A245" s="95"/>
    </row>
    <row r="246" spans="1:1" s="101" customFormat="1" x14ac:dyDescent="0.2">
      <c r="A246" s="95"/>
    </row>
    <row r="247" spans="1:1" s="101" customFormat="1" x14ac:dyDescent="0.2">
      <c r="A247" s="95"/>
    </row>
    <row r="248" spans="1:1" s="101" customFormat="1" x14ac:dyDescent="0.2">
      <c r="A248" s="95"/>
    </row>
    <row r="249" spans="1:1" s="101" customFormat="1" x14ac:dyDescent="0.2">
      <c r="A249" s="95"/>
    </row>
    <row r="250" spans="1:1" s="101" customFormat="1" x14ac:dyDescent="0.2">
      <c r="A250" s="95"/>
    </row>
    <row r="251" spans="1:1" s="101" customFormat="1" x14ac:dyDescent="0.2">
      <c r="A251" s="95"/>
    </row>
    <row r="252" spans="1:1" s="101" customFormat="1" x14ac:dyDescent="0.2">
      <c r="A252" s="95"/>
    </row>
    <row r="253" spans="1:1" s="101" customFormat="1" x14ac:dyDescent="0.2">
      <c r="A253" s="95"/>
    </row>
    <row r="254" spans="1:1" s="101" customFormat="1" x14ac:dyDescent="0.2">
      <c r="A254" s="95"/>
    </row>
    <row r="255" spans="1:1" s="101" customFormat="1" x14ac:dyDescent="0.2">
      <c r="A255" s="95"/>
    </row>
    <row r="256" spans="1:1" s="101" customFormat="1" x14ac:dyDescent="0.2">
      <c r="A256" s="95"/>
    </row>
    <row r="257" spans="1:1" s="101" customFormat="1" x14ac:dyDescent="0.2">
      <c r="A257" s="95"/>
    </row>
    <row r="258" spans="1:1" s="101" customFormat="1" x14ac:dyDescent="0.2">
      <c r="A258" s="95"/>
    </row>
    <row r="259" spans="1:1" s="101" customFormat="1" x14ac:dyDescent="0.2">
      <c r="A259" s="95"/>
    </row>
    <row r="260" spans="1:1" s="101" customFormat="1" x14ac:dyDescent="0.2">
      <c r="A260" s="95"/>
    </row>
    <row r="261" spans="1:1" s="101" customFormat="1" x14ac:dyDescent="0.2">
      <c r="A261" s="95"/>
    </row>
    <row r="262" spans="1:1" s="101" customFormat="1" x14ac:dyDescent="0.2">
      <c r="A262" s="95"/>
    </row>
    <row r="263" spans="1:1" s="101" customFormat="1" x14ac:dyDescent="0.2">
      <c r="A263" s="95"/>
    </row>
    <row r="264" spans="1:1" s="101" customFormat="1" x14ac:dyDescent="0.2">
      <c r="A264" s="95"/>
    </row>
    <row r="265" spans="1:1" s="101" customFormat="1" x14ac:dyDescent="0.2">
      <c r="A265" s="95"/>
    </row>
    <row r="266" spans="1:1" s="101" customFormat="1" x14ac:dyDescent="0.2">
      <c r="A266" s="95"/>
    </row>
    <row r="267" spans="1:1" s="101" customFormat="1" x14ac:dyDescent="0.2">
      <c r="A267" s="95"/>
    </row>
    <row r="268" spans="1:1" s="101" customFormat="1" x14ac:dyDescent="0.2">
      <c r="A268" s="95"/>
    </row>
    <row r="269" spans="1:1" s="101" customFormat="1" x14ac:dyDescent="0.2">
      <c r="A269" s="95"/>
    </row>
    <row r="270" spans="1:1" s="101" customFormat="1" x14ac:dyDescent="0.2">
      <c r="A270" s="95"/>
    </row>
    <row r="271" spans="1:1" s="101" customFormat="1" x14ac:dyDescent="0.2">
      <c r="A271" s="95"/>
    </row>
    <row r="272" spans="1:1" s="101" customFormat="1" x14ac:dyDescent="0.2">
      <c r="A272" s="95"/>
    </row>
    <row r="273" spans="1:1" s="101" customFormat="1" x14ac:dyDescent="0.2">
      <c r="A273" s="95"/>
    </row>
    <row r="274" spans="1:1" s="101" customFormat="1" x14ac:dyDescent="0.2">
      <c r="A274" s="95"/>
    </row>
    <row r="275" spans="1:1" s="101" customFormat="1" x14ac:dyDescent="0.2">
      <c r="A275" s="95"/>
    </row>
    <row r="276" spans="1:1" s="101" customFormat="1" x14ac:dyDescent="0.2">
      <c r="A276" s="95"/>
    </row>
    <row r="277" spans="1:1" s="101" customFormat="1" x14ac:dyDescent="0.2">
      <c r="A277" s="95"/>
    </row>
    <row r="278" spans="1:1" s="101" customFormat="1" x14ac:dyDescent="0.2">
      <c r="A278" s="95"/>
    </row>
    <row r="279" spans="1:1" s="101" customFormat="1" x14ac:dyDescent="0.2">
      <c r="A279" s="95"/>
    </row>
    <row r="280" spans="1:1" s="101" customFormat="1" x14ac:dyDescent="0.2">
      <c r="A280" s="95"/>
    </row>
    <row r="281" spans="1:1" s="101" customFormat="1" x14ac:dyDescent="0.2">
      <c r="A281" s="95"/>
    </row>
    <row r="282" spans="1:1" s="101" customFormat="1" x14ac:dyDescent="0.2">
      <c r="A282" s="95"/>
    </row>
    <row r="283" spans="1:1" s="101" customFormat="1" x14ac:dyDescent="0.2">
      <c r="A283" s="95"/>
    </row>
    <row r="284" spans="1:1" s="101" customFormat="1" x14ac:dyDescent="0.2">
      <c r="A284" s="95"/>
    </row>
    <row r="285" spans="1:1" s="101" customFormat="1" x14ac:dyDescent="0.2">
      <c r="A285" s="95"/>
    </row>
    <row r="286" spans="1:1" s="101" customFormat="1" x14ac:dyDescent="0.2">
      <c r="A286" s="95"/>
    </row>
    <row r="287" spans="1:1" s="101" customFormat="1" x14ac:dyDescent="0.2">
      <c r="A287" s="95"/>
    </row>
    <row r="288" spans="1:1" s="101" customFormat="1" x14ac:dyDescent="0.2">
      <c r="A288" s="95"/>
    </row>
    <row r="289" spans="1:1" s="101" customFormat="1" x14ac:dyDescent="0.2">
      <c r="A289" s="95"/>
    </row>
    <row r="290" spans="1:1" s="101" customFormat="1" x14ac:dyDescent="0.2">
      <c r="A290" s="95"/>
    </row>
    <row r="291" spans="1:1" s="101" customFormat="1" x14ac:dyDescent="0.2">
      <c r="A291" s="95"/>
    </row>
    <row r="292" spans="1:1" s="101" customFormat="1" x14ac:dyDescent="0.2">
      <c r="A292" s="95"/>
    </row>
    <row r="293" spans="1:1" s="101" customFormat="1" x14ac:dyDescent="0.2">
      <c r="A293" s="95"/>
    </row>
    <row r="294" spans="1:1" s="101" customFormat="1" x14ac:dyDescent="0.2">
      <c r="A294" s="95"/>
    </row>
    <row r="295" spans="1:1" s="101" customFormat="1" x14ac:dyDescent="0.2">
      <c r="A295" s="95"/>
    </row>
    <row r="296" spans="1:1" s="101" customFormat="1" x14ac:dyDescent="0.2">
      <c r="A296" s="95"/>
    </row>
    <row r="297" spans="1:1" s="101" customFormat="1" x14ac:dyDescent="0.2">
      <c r="A297" s="95"/>
    </row>
    <row r="298" spans="1:1" s="101" customFormat="1" x14ac:dyDescent="0.2">
      <c r="A298" s="95"/>
    </row>
    <row r="299" spans="1:1" s="101" customFormat="1" x14ac:dyDescent="0.2">
      <c r="A299" s="95"/>
    </row>
    <row r="300" spans="1:1" s="101" customFormat="1" x14ac:dyDescent="0.2">
      <c r="A300" s="95"/>
    </row>
    <row r="301" spans="1:1" s="101" customFormat="1" x14ac:dyDescent="0.2">
      <c r="A301" s="95"/>
    </row>
    <row r="302" spans="1:1" s="101" customFormat="1" x14ac:dyDescent="0.2">
      <c r="A302" s="95"/>
    </row>
    <row r="303" spans="1:1" s="101" customFormat="1" x14ac:dyDescent="0.2">
      <c r="A303" s="95"/>
    </row>
    <row r="304" spans="1:1" s="101" customFormat="1" x14ac:dyDescent="0.2">
      <c r="A304" s="95"/>
    </row>
    <row r="305" spans="1:1" s="101" customFormat="1" x14ac:dyDescent="0.2">
      <c r="A305" s="95"/>
    </row>
    <row r="306" spans="1:1" s="101" customFormat="1" x14ac:dyDescent="0.2">
      <c r="A306" s="95"/>
    </row>
    <row r="307" spans="1:1" s="101" customFormat="1" x14ac:dyDescent="0.2">
      <c r="A307" s="95"/>
    </row>
    <row r="308" spans="1:1" s="101" customFormat="1" x14ac:dyDescent="0.2">
      <c r="A308" s="95"/>
    </row>
    <row r="309" spans="1:1" s="101" customFormat="1" x14ac:dyDescent="0.2">
      <c r="A309" s="95"/>
    </row>
    <row r="310" spans="1:1" s="101" customFormat="1" x14ac:dyDescent="0.2">
      <c r="A310" s="95"/>
    </row>
    <row r="311" spans="1:1" s="101" customFormat="1" x14ac:dyDescent="0.2">
      <c r="A311" s="95"/>
    </row>
    <row r="312" spans="1:1" s="101" customFormat="1" x14ac:dyDescent="0.2">
      <c r="A312" s="95"/>
    </row>
    <row r="313" spans="1:1" s="101" customFormat="1" x14ac:dyDescent="0.2">
      <c r="A313" s="95"/>
    </row>
    <row r="314" spans="1:1" s="101" customFormat="1" x14ac:dyDescent="0.2">
      <c r="A314" s="95"/>
    </row>
    <row r="315" spans="1:1" s="101" customFormat="1" x14ac:dyDescent="0.2">
      <c r="A315" s="95"/>
    </row>
    <row r="316" spans="1:1" s="101" customFormat="1" x14ac:dyDescent="0.2">
      <c r="A316" s="95"/>
    </row>
    <row r="317" spans="1:1" s="101" customFormat="1" x14ac:dyDescent="0.2">
      <c r="A317" s="95"/>
    </row>
    <row r="318" spans="1:1" s="101" customFormat="1" x14ac:dyDescent="0.2">
      <c r="A318" s="95"/>
    </row>
    <row r="319" spans="1:1" s="101" customFormat="1" x14ac:dyDescent="0.2">
      <c r="A319" s="95"/>
    </row>
    <row r="320" spans="1:1" s="101" customFormat="1" x14ac:dyDescent="0.2">
      <c r="A320" s="95"/>
    </row>
    <row r="321" spans="1:1" s="101" customFormat="1" x14ac:dyDescent="0.2">
      <c r="A321" s="95"/>
    </row>
    <row r="322" spans="1:1" s="101" customFormat="1" x14ac:dyDescent="0.2">
      <c r="A322" s="95"/>
    </row>
    <row r="323" spans="1:1" s="101" customFormat="1" x14ac:dyDescent="0.2">
      <c r="A323" s="95"/>
    </row>
    <row r="324" spans="1:1" s="101" customFormat="1" x14ac:dyDescent="0.2">
      <c r="A324" s="95"/>
    </row>
    <row r="325" spans="1:1" s="101" customFormat="1" x14ac:dyDescent="0.2">
      <c r="A325" s="95"/>
    </row>
    <row r="326" spans="1:1" s="101" customFormat="1" x14ac:dyDescent="0.2">
      <c r="A326" s="95"/>
    </row>
    <row r="327" spans="1:1" s="101" customFormat="1" x14ac:dyDescent="0.2">
      <c r="A327" s="95"/>
    </row>
    <row r="328" spans="1:1" s="101" customFormat="1" x14ac:dyDescent="0.2">
      <c r="A328" s="95"/>
    </row>
    <row r="329" spans="1:1" s="101" customFormat="1" x14ac:dyDescent="0.2">
      <c r="A329" s="95"/>
    </row>
    <row r="330" spans="1:1" s="101" customFormat="1" x14ac:dyDescent="0.2">
      <c r="A330" s="95"/>
    </row>
    <row r="331" spans="1:1" s="101" customFormat="1" x14ac:dyDescent="0.2">
      <c r="A331" s="95"/>
    </row>
    <row r="332" spans="1:1" s="101" customFormat="1" x14ac:dyDescent="0.2">
      <c r="A332" s="95"/>
    </row>
    <row r="333" spans="1:1" s="101" customFormat="1" x14ac:dyDescent="0.2">
      <c r="A333" s="95"/>
    </row>
    <row r="334" spans="1:1" s="101" customFormat="1" x14ac:dyDescent="0.2">
      <c r="A334" s="95"/>
    </row>
    <row r="335" spans="1:1" s="101" customFormat="1" x14ac:dyDescent="0.2">
      <c r="A335" s="95"/>
    </row>
    <row r="336" spans="1:1" s="101" customFormat="1" x14ac:dyDescent="0.2">
      <c r="A336" s="95"/>
    </row>
    <row r="337" spans="1:1" s="101" customFormat="1" x14ac:dyDescent="0.2">
      <c r="A337" s="95"/>
    </row>
    <row r="338" spans="1:1" s="101" customFormat="1" x14ac:dyDescent="0.2">
      <c r="A338" s="95"/>
    </row>
    <row r="339" spans="1:1" s="101" customFormat="1" x14ac:dyDescent="0.2">
      <c r="A339" s="95"/>
    </row>
    <row r="340" spans="1:1" s="101" customFormat="1" x14ac:dyDescent="0.2">
      <c r="A340" s="95"/>
    </row>
    <row r="341" spans="1:1" s="101" customFormat="1" x14ac:dyDescent="0.2">
      <c r="A341" s="95"/>
    </row>
    <row r="342" spans="1:1" s="101" customFormat="1" x14ac:dyDescent="0.2">
      <c r="A342" s="95"/>
    </row>
    <row r="343" spans="1:1" s="101" customFormat="1" x14ac:dyDescent="0.2">
      <c r="A343" s="95"/>
    </row>
    <row r="344" spans="1:1" s="101" customFormat="1" x14ac:dyDescent="0.2">
      <c r="A344" s="95"/>
    </row>
    <row r="345" spans="1:1" s="101" customFormat="1" x14ac:dyDescent="0.2">
      <c r="A345" s="95"/>
    </row>
    <row r="346" spans="1:1" s="101" customFormat="1" x14ac:dyDescent="0.2">
      <c r="A346" s="95"/>
    </row>
    <row r="347" spans="1:1" s="101" customFormat="1" x14ac:dyDescent="0.2">
      <c r="A347" s="95"/>
    </row>
    <row r="348" spans="1:1" s="101" customFormat="1" x14ac:dyDescent="0.2">
      <c r="A348" s="95"/>
    </row>
    <row r="349" spans="1:1" s="101" customFormat="1" x14ac:dyDescent="0.2">
      <c r="A349" s="95"/>
    </row>
    <row r="350" spans="1:1" s="101" customFormat="1" x14ac:dyDescent="0.2">
      <c r="A350" s="95"/>
    </row>
    <row r="351" spans="1:1" s="101" customFormat="1" x14ac:dyDescent="0.2">
      <c r="A351" s="95"/>
    </row>
    <row r="352" spans="1:1" s="101" customFormat="1" x14ac:dyDescent="0.2">
      <c r="A352" s="95"/>
    </row>
    <row r="353" spans="1:1" s="101" customFormat="1" x14ac:dyDescent="0.2">
      <c r="A353" s="95"/>
    </row>
    <row r="354" spans="1:1" s="101" customFormat="1" x14ac:dyDescent="0.2">
      <c r="A354" s="95"/>
    </row>
    <row r="355" spans="1:1" s="101" customFormat="1" x14ac:dyDescent="0.2">
      <c r="A355" s="95"/>
    </row>
    <row r="356" spans="1:1" s="101" customFormat="1" x14ac:dyDescent="0.2">
      <c r="A356" s="95"/>
    </row>
    <row r="357" spans="1:1" s="101" customFormat="1" x14ac:dyDescent="0.2">
      <c r="A357" s="95"/>
    </row>
    <row r="358" spans="1:1" s="101" customFormat="1" x14ac:dyDescent="0.2">
      <c r="A358" s="95"/>
    </row>
    <row r="359" spans="1:1" s="101" customFormat="1" x14ac:dyDescent="0.2">
      <c r="A359" s="95"/>
    </row>
    <row r="360" spans="1:1" s="101" customFormat="1" x14ac:dyDescent="0.2">
      <c r="A360" s="95"/>
    </row>
    <row r="361" spans="1:1" s="101" customFormat="1" x14ac:dyDescent="0.2">
      <c r="A361" s="95"/>
    </row>
    <row r="362" spans="1:1" s="101" customFormat="1" x14ac:dyDescent="0.2">
      <c r="A362" s="95"/>
    </row>
    <row r="363" spans="1:1" s="101" customFormat="1" x14ac:dyDescent="0.2">
      <c r="A363" s="95"/>
    </row>
    <row r="364" spans="1:1" s="101" customFormat="1" x14ac:dyDescent="0.2">
      <c r="A364" s="95"/>
    </row>
    <row r="365" spans="1:1" s="101" customFormat="1" x14ac:dyDescent="0.2">
      <c r="A365" s="95"/>
    </row>
    <row r="366" spans="1:1" s="101" customFormat="1" x14ac:dyDescent="0.2">
      <c r="A366" s="95"/>
    </row>
    <row r="367" spans="1:1" s="101" customFormat="1" x14ac:dyDescent="0.2">
      <c r="A367" s="95"/>
    </row>
    <row r="368" spans="1:1" s="101" customFormat="1" x14ac:dyDescent="0.2">
      <c r="A368" s="95"/>
    </row>
    <row r="369" spans="1:1" s="101" customFormat="1" x14ac:dyDescent="0.2">
      <c r="A369" s="95"/>
    </row>
    <row r="370" spans="1:1" s="101" customFormat="1" x14ac:dyDescent="0.2">
      <c r="A370" s="95"/>
    </row>
    <row r="371" spans="1:1" s="101" customFormat="1" x14ac:dyDescent="0.2">
      <c r="A371" s="95"/>
    </row>
    <row r="372" spans="1:1" s="101" customFormat="1" x14ac:dyDescent="0.2">
      <c r="A372" s="95"/>
    </row>
    <row r="373" spans="1:1" s="101" customFormat="1" x14ac:dyDescent="0.2">
      <c r="A373" s="95"/>
    </row>
    <row r="374" spans="1:1" s="101" customFormat="1" x14ac:dyDescent="0.2">
      <c r="A374" s="95"/>
    </row>
    <row r="375" spans="1:1" s="101" customFormat="1" x14ac:dyDescent="0.2">
      <c r="A375" s="95"/>
    </row>
    <row r="376" spans="1:1" s="101" customFormat="1" x14ac:dyDescent="0.2">
      <c r="A376" s="95"/>
    </row>
    <row r="377" spans="1:1" s="101" customFormat="1" x14ac:dyDescent="0.2">
      <c r="A377" s="95"/>
    </row>
    <row r="378" spans="1:1" s="101" customFormat="1" x14ac:dyDescent="0.2">
      <c r="A378" s="95"/>
    </row>
    <row r="379" spans="1:1" s="101" customFormat="1" x14ac:dyDescent="0.2">
      <c r="A379" s="95"/>
    </row>
    <row r="380" spans="1:1" s="101" customFormat="1" x14ac:dyDescent="0.2">
      <c r="A380" s="95"/>
    </row>
    <row r="381" spans="1:1" s="101" customFormat="1" x14ac:dyDescent="0.2">
      <c r="A381" s="95"/>
    </row>
    <row r="382" spans="1:1" s="101" customFormat="1" x14ac:dyDescent="0.2">
      <c r="A382" s="95"/>
    </row>
    <row r="383" spans="1:1" s="101" customFormat="1" x14ac:dyDescent="0.2">
      <c r="A383" s="95"/>
    </row>
    <row r="384" spans="1:1" s="101" customFormat="1" x14ac:dyDescent="0.2">
      <c r="A384" s="95"/>
    </row>
    <row r="385" spans="1:1" s="101" customFormat="1" x14ac:dyDescent="0.2">
      <c r="A385" s="95"/>
    </row>
    <row r="386" spans="1:1" s="101" customFormat="1" x14ac:dyDescent="0.2">
      <c r="A386" s="95"/>
    </row>
    <row r="387" spans="1:1" s="101" customFormat="1" x14ac:dyDescent="0.2">
      <c r="A387" s="95"/>
    </row>
    <row r="388" spans="1:1" s="101" customFormat="1" x14ac:dyDescent="0.2">
      <c r="A388" s="95"/>
    </row>
    <row r="389" spans="1:1" s="101" customFormat="1" x14ac:dyDescent="0.2">
      <c r="A389" s="95"/>
    </row>
    <row r="390" spans="1:1" s="101" customFormat="1" x14ac:dyDescent="0.2">
      <c r="A390" s="95"/>
    </row>
    <row r="391" spans="1:1" s="101" customFormat="1" x14ac:dyDescent="0.2">
      <c r="A391" s="95"/>
    </row>
    <row r="392" spans="1:1" s="101" customFormat="1" x14ac:dyDescent="0.2">
      <c r="A392" s="95"/>
    </row>
    <row r="393" spans="1:1" s="101" customFormat="1" x14ac:dyDescent="0.2">
      <c r="A393" s="95"/>
    </row>
    <row r="394" spans="1:1" s="101" customFormat="1" x14ac:dyDescent="0.2">
      <c r="A394" s="95"/>
    </row>
    <row r="395" spans="1:1" s="101" customFormat="1" x14ac:dyDescent="0.2">
      <c r="A395" s="95"/>
    </row>
    <row r="396" spans="1:1" s="101" customFormat="1" x14ac:dyDescent="0.2">
      <c r="A396" s="95"/>
    </row>
    <row r="397" spans="1:1" s="101" customFormat="1" x14ac:dyDescent="0.2">
      <c r="A397" s="95"/>
    </row>
    <row r="398" spans="1:1" s="101" customFormat="1" x14ac:dyDescent="0.2">
      <c r="A398" s="95"/>
    </row>
    <row r="399" spans="1:1" s="101" customFormat="1" x14ac:dyDescent="0.2">
      <c r="A399" s="95"/>
    </row>
    <row r="400" spans="1:1" s="101" customFormat="1" x14ac:dyDescent="0.2">
      <c r="A400" s="95"/>
    </row>
    <row r="401" spans="1:1" s="101" customFormat="1" x14ac:dyDescent="0.2">
      <c r="A401" s="95"/>
    </row>
    <row r="402" spans="1:1" s="101" customFormat="1" x14ac:dyDescent="0.2">
      <c r="A402" s="95"/>
    </row>
    <row r="403" spans="1:1" s="101" customFormat="1" x14ac:dyDescent="0.2">
      <c r="A403" s="95"/>
    </row>
    <row r="404" spans="1:1" s="101" customFormat="1" x14ac:dyDescent="0.2">
      <c r="A404" s="95"/>
    </row>
    <row r="405" spans="1:1" s="101" customFormat="1" x14ac:dyDescent="0.2">
      <c r="A405" s="95"/>
    </row>
    <row r="406" spans="1:1" s="101" customFormat="1" x14ac:dyDescent="0.2">
      <c r="A406" s="95"/>
    </row>
    <row r="407" spans="1:1" s="101" customFormat="1" x14ac:dyDescent="0.2">
      <c r="A407" s="95"/>
    </row>
    <row r="408" spans="1:1" s="101" customFormat="1" x14ac:dyDescent="0.2">
      <c r="A408" s="95"/>
    </row>
    <row r="409" spans="1:1" s="101" customFormat="1" x14ac:dyDescent="0.2">
      <c r="A409" s="95"/>
    </row>
    <row r="410" spans="1:1" s="101" customFormat="1" x14ac:dyDescent="0.2">
      <c r="A410" s="95"/>
    </row>
    <row r="411" spans="1:1" s="101" customFormat="1" x14ac:dyDescent="0.2">
      <c r="A411" s="95"/>
    </row>
    <row r="412" spans="1:1" s="101" customFormat="1" x14ac:dyDescent="0.2">
      <c r="A412" s="95"/>
    </row>
    <row r="413" spans="1:1" s="101" customFormat="1" x14ac:dyDescent="0.2">
      <c r="A413" s="95"/>
    </row>
    <row r="414" spans="1:1" s="101" customFormat="1" x14ac:dyDescent="0.2">
      <c r="A414" s="95"/>
    </row>
    <row r="415" spans="1:1" s="101" customFormat="1" x14ac:dyDescent="0.2">
      <c r="A415" s="95"/>
    </row>
    <row r="416" spans="1:1" s="101" customFormat="1" x14ac:dyDescent="0.2">
      <c r="A416" s="95"/>
    </row>
    <row r="417" spans="1:1" s="101" customFormat="1" x14ac:dyDescent="0.2">
      <c r="A417" s="95"/>
    </row>
    <row r="418" spans="1:1" s="101" customFormat="1" x14ac:dyDescent="0.2">
      <c r="A418" s="95"/>
    </row>
    <row r="419" spans="1:1" s="101" customFormat="1" x14ac:dyDescent="0.2">
      <c r="A419" s="95"/>
    </row>
    <row r="420" spans="1:1" s="101" customFormat="1" x14ac:dyDescent="0.2">
      <c r="A420" s="95"/>
    </row>
    <row r="421" spans="1:1" s="101" customFormat="1" x14ac:dyDescent="0.2">
      <c r="A421" s="95"/>
    </row>
    <row r="422" spans="1:1" s="101" customFormat="1" x14ac:dyDescent="0.2">
      <c r="A422" s="95"/>
    </row>
    <row r="423" spans="1:1" s="101" customFormat="1" x14ac:dyDescent="0.2">
      <c r="A423" s="95"/>
    </row>
    <row r="424" spans="1:1" s="101" customFormat="1" x14ac:dyDescent="0.2">
      <c r="A424" s="95"/>
    </row>
    <row r="425" spans="1:1" s="101" customFormat="1" x14ac:dyDescent="0.2">
      <c r="A425" s="95"/>
    </row>
    <row r="426" spans="1:1" s="101" customFormat="1" x14ac:dyDescent="0.2">
      <c r="A426" s="95"/>
    </row>
    <row r="427" spans="1:1" s="101" customFormat="1" x14ac:dyDescent="0.2">
      <c r="A427" s="95"/>
    </row>
    <row r="428" spans="1:1" s="101" customFormat="1" x14ac:dyDescent="0.2">
      <c r="A428" s="95"/>
    </row>
    <row r="429" spans="1:1" s="101" customFormat="1" x14ac:dyDescent="0.2">
      <c r="A429" s="95"/>
    </row>
    <row r="430" spans="1:1" s="101" customFormat="1" x14ac:dyDescent="0.2">
      <c r="A430" s="95"/>
    </row>
    <row r="431" spans="1:1" s="101" customFormat="1" x14ac:dyDescent="0.2">
      <c r="A431" s="95"/>
    </row>
    <row r="432" spans="1:1" s="101" customFormat="1" x14ac:dyDescent="0.2">
      <c r="A432" s="95"/>
    </row>
    <row r="433" spans="1:1" s="101" customFormat="1" x14ac:dyDescent="0.2">
      <c r="A433" s="95"/>
    </row>
    <row r="434" spans="1:1" s="101" customFormat="1" x14ac:dyDescent="0.2">
      <c r="A434" s="95"/>
    </row>
    <row r="435" spans="1:1" s="101" customFormat="1" x14ac:dyDescent="0.2">
      <c r="A435" s="95"/>
    </row>
    <row r="436" spans="1:1" s="101" customFormat="1" x14ac:dyDescent="0.2">
      <c r="A436" s="95"/>
    </row>
    <row r="437" spans="1:1" s="101" customFormat="1" x14ac:dyDescent="0.2">
      <c r="A437" s="95"/>
    </row>
    <row r="438" spans="1:1" s="101" customFormat="1" x14ac:dyDescent="0.2">
      <c r="A438" s="95"/>
    </row>
    <row r="439" spans="1:1" s="101" customFormat="1" x14ac:dyDescent="0.2">
      <c r="A439" s="95"/>
    </row>
    <row r="440" spans="1:1" s="101" customFormat="1" x14ac:dyDescent="0.2">
      <c r="A440" s="95"/>
    </row>
    <row r="441" spans="1:1" s="101" customFormat="1" x14ac:dyDescent="0.2">
      <c r="A441" s="95"/>
    </row>
    <row r="442" spans="1:1" s="101" customFormat="1" x14ac:dyDescent="0.2">
      <c r="A442" s="95"/>
    </row>
    <row r="443" spans="1:1" s="101" customFormat="1" x14ac:dyDescent="0.2">
      <c r="A443" s="95"/>
    </row>
    <row r="444" spans="1:1" s="101" customFormat="1" x14ac:dyDescent="0.2">
      <c r="A444" s="95"/>
    </row>
    <row r="445" spans="1:1" s="101" customFormat="1" x14ac:dyDescent="0.2">
      <c r="A445" s="95"/>
    </row>
    <row r="446" spans="1:1" s="101" customFormat="1" x14ac:dyDescent="0.2">
      <c r="A446" s="95"/>
    </row>
    <row r="447" spans="1:1" s="101" customFormat="1" x14ac:dyDescent="0.2">
      <c r="A447" s="95"/>
    </row>
  </sheetData>
  <sheetProtection sheet="1" objects="1" scenarios="1"/>
  <mergeCells count="417">
    <mergeCell ref="D40:E40"/>
    <mergeCell ref="D42:E42"/>
    <mergeCell ref="L33:M33"/>
    <mergeCell ref="J33:K33"/>
    <mergeCell ref="F6:G6"/>
    <mergeCell ref="D6:E6"/>
    <mergeCell ref="B6:C6"/>
    <mergeCell ref="D5:E5"/>
    <mergeCell ref="B5:C5"/>
    <mergeCell ref="F5:G5"/>
    <mergeCell ref="A47:Z47"/>
    <mergeCell ref="B25:C25"/>
    <mergeCell ref="B15:C15"/>
    <mergeCell ref="B17:C17"/>
    <mergeCell ref="B18:C18"/>
    <mergeCell ref="B19:C19"/>
    <mergeCell ref="B20:C20"/>
    <mergeCell ref="D36:E36"/>
    <mergeCell ref="D37:E37"/>
    <mergeCell ref="D38:E38"/>
    <mergeCell ref="D30:E30"/>
    <mergeCell ref="D31:E31"/>
    <mergeCell ref="D34:E34"/>
    <mergeCell ref="D27:E27"/>
    <mergeCell ref="D28:E28"/>
    <mergeCell ref="D29:E29"/>
    <mergeCell ref="D20:E20"/>
    <mergeCell ref="D35:E35"/>
    <mergeCell ref="P5:Q5"/>
    <mergeCell ref="N5:O5"/>
    <mergeCell ref="T5:U5"/>
    <mergeCell ref="X5:Y5"/>
    <mergeCell ref="H5:I5"/>
    <mergeCell ref="T6:U6"/>
    <mergeCell ref="V5:W5"/>
    <mergeCell ref="V6:W6"/>
    <mergeCell ref="X6:Y6"/>
    <mergeCell ref="R5:S5"/>
    <mergeCell ref="N6:O6"/>
    <mergeCell ref="P6:Q6"/>
    <mergeCell ref="R6:S6"/>
    <mergeCell ref="L5:M5"/>
    <mergeCell ref="L6:M6"/>
    <mergeCell ref="J5:K5"/>
    <mergeCell ref="J6:K6"/>
    <mergeCell ref="H6:I6"/>
    <mergeCell ref="N4:Y4"/>
    <mergeCell ref="B4:M4"/>
    <mergeCell ref="B9:C9"/>
    <mergeCell ref="B11:C11"/>
    <mergeCell ref="B12:C12"/>
    <mergeCell ref="B35:C35"/>
    <mergeCell ref="B36:C36"/>
    <mergeCell ref="B26:C26"/>
    <mergeCell ref="B27:C27"/>
    <mergeCell ref="B28:C28"/>
    <mergeCell ref="B29:C29"/>
    <mergeCell ref="B30:C30"/>
    <mergeCell ref="B23:C23"/>
    <mergeCell ref="B24:C24"/>
    <mergeCell ref="B14:C14"/>
    <mergeCell ref="B33:C33"/>
    <mergeCell ref="B10:C10"/>
    <mergeCell ref="B13:C13"/>
    <mergeCell ref="B31:C31"/>
    <mergeCell ref="B21:C21"/>
    <mergeCell ref="B22:C22"/>
    <mergeCell ref="B34:C34"/>
    <mergeCell ref="D12:E12"/>
    <mergeCell ref="D14:E14"/>
    <mergeCell ref="L34:M34"/>
    <mergeCell ref="F34:G34"/>
    <mergeCell ref="F35:G35"/>
    <mergeCell ref="F36:G36"/>
    <mergeCell ref="H35:I35"/>
    <mergeCell ref="H36:I36"/>
    <mergeCell ref="L35:M35"/>
    <mergeCell ref="D23:E23"/>
    <mergeCell ref="D24:E24"/>
    <mergeCell ref="D25:E25"/>
    <mergeCell ref="D26:E26"/>
    <mergeCell ref="D33:E33"/>
    <mergeCell ref="D13:E13"/>
    <mergeCell ref="J30:K30"/>
    <mergeCell ref="J28:K28"/>
    <mergeCell ref="H28:I28"/>
    <mergeCell ref="F28:G28"/>
    <mergeCell ref="F29:G29"/>
    <mergeCell ref="H29:I29"/>
    <mergeCell ref="J35:K35"/>
    <mergeCell ref="J36:K36"/>
    <mergeCell ref="D15:E15"/>
    <mergeCell ref="D17:E17"/>
    <mergeCell ref="D18:E18"/>
    <mergeCell ref="D19:E19"/>
    <mergeCell ref="D21:E21"/>
    <mergeCell ref="D22:E22"/>
    <mergeCell ref="L36:M36"/>
    <mergeCell ref="N29:O29"/>
    <mergeCell ref="H33:I33"/>
    <mergeCell ref="F33:G33"/>
    <mergeCell ref="J34:K34"/>
    <mergeCell ref="H34:I34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F25:G25"/>
    <mergeCell ref="H25:I25"/>
    <mergeCell ref="J25:K25"/>
    <mergeCell ref="L22:M22"/>
    <mergeCell ref="L23:M23"/>
    <mergeCell ref="N22:O22"/>
    <mergeCell ref="N23:O23"/>
    <mergeCell ref="F15:G15"/>
    <mergeCell ref="H15:I15"/>
    <mergeCell ref="J15:K15"/>
    <mergeCell ref="V12:W12"/>
    <mergeCell ref="T12:U12"/>
    <mergeCell ref="R12:S12"/>
    <mergeCell ref="J19:K19"/>
    <mergeCell ref="H19:I19"/>
    <mergeCell ref="F19:G19"/>
    <mergeCell ref="L12:M12"/>
    <mergeCell ref="J12:K12"/>
    <mergeCell ref="H12:I12"/>
    <mergeCell ref="F12:G12"/>
    <mergeCell ref="F13:G13"/>
    <mergeCell ref="H13:I13"/>
    <mergeCell ref="J13:K13"/>
    <mergeCell ref="L13:M13"/>
    <mergeCell ref="L14:M14"/>
    <mergeCell ref="J14:K14"/>
    <mergeCell ref="H14:I14"/>
    <mergeCell ref="F14:G14"/>
    <mergeCell ref="L17:M17"/>
    <mergeCell ref="J17:K17"/>
    <mergeCell ref="H17:I17"/>
    <mergeCell ref="F17:G17"/>
    <mergeCell ref="F18:G18"/>
    <mergeCell ref="H18:I18"/>
    <mergeCell ref="J18:K18"/>
    <mergeCell ref="L18:M18"/>
    <mergeCell ref="J21:K21"/>
    <mergeCell ref="J20:K20"/>
    <mergeCell ref="L20:M20"/>
    <mergeCell ref="L21:M21"/>
    <mergeCell ref="F20:G20"/>
    <mergeCell ref="H20:I20"/>
    <mergeCell ref="J26:K26"/>
    <mergeCell ref="H26:I26"/>
    <mergeCell ref="F26:G26"/>
    <mergeCell ref="F27:G27"/>
    <mergeCell ref="H27:I27"/>
    <mergeCell ref="J27:K27"/>
    <mergeCell ref="L27:M27"/>
    <mergeCell ref="H30:I30"/>
    <mergeCell ref="F30:G30"/>
    <mergeCell ref="F31:G31"/>
    <mergeCell ref="H31:I31"/>
    <mergeCell ref="J31:K31"/>
    <mergeCell ref="L31:M31"/>
    <mergeCell ref="J29:K29"/>
    <mergeCell ref="L29:M29"/>
    <mergeCell ref="L30:M30"/>
    <mergeCell ref="T19:U19"/>
    <mergeCell ref="V19:W19"/>
    <mergeCell ref="N31:O31"/>
    <mergeCell ref="N33:O33"/>
    <mergeCell ref="L19:M19"/>
    <mergeCell ref="N30:O30"/>
    <mergeCell ref="P18:Q18"/>
    <mergeCell ref="V22:W22"/>
    <mergeCell ref="T22:U22"/>
    <mergeCell ref="L28:M28"/>
    <mergeCell ref="N28:O28"/>
    <mergeCell ref="N24:O24"/>
    <mergeCell ref="N25:O25"/>
    <mergeCell ref="L24:M24"/>
    <mergeCell ref="N34:O34"/>
    <mergeCell ref="P11:Q11"/>
    <mergeCell ref="R11:S11"/>
    <mergeCell ref="P13:Q13"/>
    <mergeCell ref="R13:S13"/>
    <mergeCell ref="R14:S14"/>
    <mergeCell ref="P14:Q14"/>
    <mergeCell ref="P15:Q15"/>
    <mergeCell ref="R15:S15"/>
    <mergeCell ref="R22:S22"/>
    <mergeCell ref="P12:Q12"/>
    <mergeCell ref="P34:Q34"/>
    <mergeCell ref="R34:S34"/>
    <mergeCell ref="R33:S33"/>
    <mergeCell ref="P33:Q33"/>
    <mergeCell ref="P30:Q30"/>
    <mergeCell ref="R30:S30"/>
    <mergeCell ref="R31:S31"/>
    <mergeCell ref="P22:Q22"/>
    <mergeCell ref="P19:Q19"/>
    <mergeCell ref="R19:S19"/>
    <mergeCell ref="N20:O20"/>
    <mergeCell ref="V16:W16"/>
    <mergeCell ref="X19:Y19"/>
    <mergeCell ref="X14:Y14"/>
    <mergeCell ref="V17:W17"/>
    <mergeCell ref="T17:U17"/>
    <mergeCell ref="T13:U13"/>
    <mergeCell ref="V13:W13"/>
    <mergeCell ref="T26:U26"/>
    <mergeCell ref="V14:W14"/>
    <mergeCell ref="T14:U14"/>
    <mergeCell ref="T24:U24"/>
    <mergeCell ref="T25:U25"/>
    <mergeCell ref="T23:U23"/>
    <mergeCell ref="R18:S18"/>
    <mergeCell ref="X13:Y13"/>
    <mergeCell ref="X21:Y21"/>
    <mergeCell ref="X22:Y22"/>
    <mergeCell ref="X15:Y15"/>
    <mergeCell ref="X17:Y17"/>
    <mergeCell ref="X20:Y20"/>
    <mergeCell ref="V20:W20"/>
    <mergeCell ref="T20:U20"/>
    <mergeCell ref="T18:U18"/>
    <mergeCell ref="N35:O35"/>
    <mergeCell ref="N26:O26"/>
    <mergeCell ref="N27:O27"/>
    <mergeCell ref="P23:Q23"/>
    <mergeCell ref="R23:S23"/>
    <mergeCell ref="N21:O21"/>
    <mergeCell ref="N12:O12"/>
    <mergeCell ref="N13:O13"/>
    <mergeCell ref="R20:S20"/>
    <mergeCell ref="P20:Q20"/>
    <mergeCell ref="P21:Q21"/>
    <mergeCell ref="R26:S26"/>
    <mergeCell ref="P26:Q26"/>
    <mergeCell ref="P28:Q28"/>
    <mergeCell ref="R24:S24"/>
    <mergeCell ref="R25:S25"/>
    <mergeCell ref="P24:Q24"/>
    <mergeCell ref="P25:Q25"/>
    <mergeCell ref="P29:Q29"/>
    <mergeCell ref="R28:S28"/>
    <mergeCell ref="R29:S29"/>
    <mergeCell ref="R35:S35"/>
    <mergeCell ref="P35:Q35"/>
    <mergeCell ref="P31:Q31"/>
    <mergeCell ref="R21:S21"/>
    <mergeCell ref="T21:U21"/>
    <mergeCell ref="V21:W21"/>
    <mergeCell ref="P27:Q27"/>
    <mergeCell ref="R17:S17"/>
    <mergeCell ref="P17:Q17"/>
    <mergeCell ref="J11:K11"/>
    <mergeCell ref="L11:M11"/>
    <mergeCell ref="N11:O11"/>
    <mergeCell ref="T11:U11"/>
    <mergeCell ref="V11:W11"/>
    <mergeCell ref="L25:M25"/>
    <mergeCell ref="R27:S27"/>
    <mergeCell ref="L16:M16"/>
    <mergeCell ref="T16:U16"/>
    <mergeCell ref="T15:U15"/>
    <mergeCell ref="V15:W15"/>
    <mergeCell ref="L26:M26"/>
    <mergeCell ref="L15:M15"/>
    <mergeCell ref="N14:O14"/>
    <mergeCell ref="N15:O15"/>
    <mergeCell ref="N17:O17"/>
    <mergeCell ref="N18:O18"/>
    <mergeCell ref="N19:O19"/>
    <mergeCell ref="F9:G9"/>
    <mergeCell ref="H9:I9"/>
    <mergeCell ref="J9:K9"/>
    <mergeCell ref="L9:M9"/>
    <mergeCell ref="L10:M10"/>
    <mergeCell ref="H11:I11"/>
    <mergeCell ref="D9:E9"/>
    <mergeCell ref="D11:E11"/>
    <mergeCell ref="J10:K10"/>
    <mergeCell ref="H10:I10"/>
    <mergeCell ref="F10:G10"/>
    <mergeCell ref="D10:E10"/>
    <mergeCell ref="F11:G11"/>
    <mergeCell ref="T9:U9"/>
    <mergeCell ref="V9:W9"/>
    <mergeCell ref="R9:S9"/>
    <mergeCell ref="P9:Q9"/>
    <mergeCell ref="N9:O9"/>
    <mergeCell ref="R10:S10"/>
    <mergeCell ref="X10:Y10"/>
    <mergeCell ref="V10:W10"/>
    <mergeCell ref="T10:U10"/>
    <mergeCell ref="N10:O10"/>
    <mergeCell ref="P10:Q10"/>
    <mergeCell ref="X11:Y11"/>
    <mergeCell ref="X9:Y9"/>
    <mergeCell ref="X23:Y23"/>
    <mergeCell ref="X24:Y24"/>
    <mergeCell ref="X25:Y25"/>
    <mergeCell ref="V24:W24"/>
    <mergeCell ref="V25:W25"/>
    <mergeCell ref="V31:W31"/>
    <mergeCell ref="X30:Y30"/>
    <mergeCell ref="X31:Y31"/>
    <mergeCell ref="X29:Y29"/>
    <mergeCell ref="X28:Y28"/>
    <mergeCell ref="X26:Y26"/>
    <mergeCell ref="V26:W26"/>
    <mergeCell ref="V23:W23"/>
    <mergeCell ref="X12:Y12"/>
    <mergeCell ref="V18:W18"/>
    <mergeCell ref="X18:Y18"/>
    <mergeCell ref="X35:Y35"/>
    <mergeCell ref="V35:W35"/>
    <mergeCell ref="T35:U35"/>
    <mergeCell ref="X34:Y34"/>
    <mergeCell ref="X33:Y33"/>
    <mergeCell ref="V33:W33"/>
    <mergeCell ref="T33:U33"/>
    <mergeCell ref="X27:Y27"/>
    <mergeCell ref="V27:W27"/>
    <mergeCell ref="V28:W28"/>
    <mergeCell ref="V29:W29"/>
    <mergeCell ref="T27:U27"/>
    <mergeCell ref="T28:U28"/>
    <mergeCell ref="T29:U29"/>
    <mergeCell ref="T34:U34"/>
    <mergeCell ref="T30:U30"/>
    <mergeCell ref="T31:U31"/>
    <mergeCell ref="V30:W30"/>
    <mergeCell ref="V34:W34"/>
    <mergeCell ref="X42:Y42"/>
    <mergeCell ref="V42:W42"/>
    <mergeCell ref="P41:Q41"/>
    <mergeCell ref="R40:S40"/>
    <mergeCell ref="R41:S41"/>
    <mergeCell ref="T40:U40"/>
    <mergeCell ref="T41:U41"/>
    <mergeCell ref="T42:U42"/>
    <mergeCell ref="R42:S42"/>
    <mergeCell ref="V40:W40"/>
    <mergeCell ref="V41:W41"/>
    <mergeCell ref="X40:Y40"/>
    <mergeCell ref="X41:Y41"/>
    <mergeCell ref="J38:K38"/>
    <mergeCell ref="J40:K40"/>
    <mergeCell ref="B37:C37"/>
    <mergeCell ref="B38:C38"/>
    <mergeCell ref="B40:C40"/>
    <mergeCell ref="B41:C41"/>
    <mergeCell ref="D41:E41"/>
    <mergeCell ref="N40:O40"/>
    <mergeCell ref="J41:K41"/>
    <mergeCell ref="F37:G37"/>
    <mergeCell ref="F38:G38"/>
    <mergeCell ref="H37:I37"/>
    <mergeCell ref="H38:I38"/>
    <mergeCell ref="L37:M37"/>
    <mergeCell ref="L38:M38"/>
    <mergeCell ref="H39:I39"/>
    <mergeCell ref="L40:M40"/>
    <mergeCell ref="L39:M39"/>
    <mergeCell ref="J39:K39"/>
    <mergeCell ref="F39:G39"/>
    <mergeCell ref="F40:G40"/>
    <mergeCell ref="H40:I40"/>
    <mergeCell ref="N39:O39"/>
    <mergeCell ref="D39:E39"/>
    <mergeCell ref="X36:Y36"/>
    <mergeCell ref="R36:S36"/>
    <mergeCell ref="R37:S37"/>
    <mergeCell ref="R38:S38"/>
    <mergeCell ref="R39:S39"/>
    <mergeCell ref="T39:U39"/>
    <mergeCell ref="T38:U38"/>
    <mergeCell ref="T37:U37"/>
    <mergeCell ref="T36:U36"/>
    <mergeCell ref="V36:W36"/>
    <mergeCell ref="V37:W37"/>
    <mergeCell ref="V38:W38"/>
    <mergeCell ref="V39:W39"/>
    <mergeCell ref="X39:Y39"/>
    <mergeCell ref="X38:Y38"/>
    <mergeCell ref="X37:Y37"/>
    <mergeCell ref="L42:M42"/>
    <mergeCell ref="H42:I42"/>
    <mergeCell ref="F42:G42"/>
    <mergeCell ref="D16:E16"/>
    <mergeCell ref="F16:G16"/>
    <mergeCell ref="H16:I16"/>
    <mergeCell ref="C46:E46"/>
    <mergeCell ref="P16:Q16"/>
    <mergeCell ref="R16:S16"/>
    <mergeCell ref="P36:Q36"/>
    <mergeCell ref="P37:Q37"/>
    <mergeCell ref="P38:Q38"/>
    <mergeCell ref="P39:Q39"/>
    <mergeCell ref="P40:Q40"/>
    <mergeCell ref="P42:Q42"/>
    <mergeCell ref="N42:O42"/>
    <mergeCell ref="H41:I41"/>
    <mergeCell ref="F41:G41"/>
    <mergeCell ref="N36:O36"/>
    <mergeCell ref="N37:O37"/>
    <mergeCell ref="N38:O38"/>
    <mergeCell ref="L41:M41"/>
    <mergeCell ref="N41:O41"/>
    <mergeCell ref="J37:K37"/>
  </mergeCells>
  <phoneticPr fontId="2" type="noConversion"/>
  <conditionalFormatting sqref="B41 B31 D31 D41 F31 F41 H31 J31 L31 N31 N41 L41 J41 H41 P31 P41 R31 T31 V31 X31 R41 T41 V41 X41">
    <cfRule type="cellIs" dxfId="5" priority="1" stopIfTrue="1" operator="lessThan">
      <formula>0</formula>
    </cfRule>
  </conditionalFormatting>
  <printOptions horizontalCentered="1" verticalCentered="1"/>
  <pageMargins left="0.5" right="0.5" top="0.5" bottom="0.5" header="0.25" footer="0.25"/>
  <pageSetup scale="85" orientation="landscape" r:id="rId1"/>
  <headerFooter>
    <oddFooter>&amp;L&amp;G</oddFooter>
  </headerFooter>
  <ignoredErrors>
    <ignoredError sqref="D9 P9 D43:D44 P43:P44" formula="1"/>
    <ignoredError sqref="P32 D32" formula="1" unlockedFormula="1"/>
    <ignoredError sqref="N8 D33 X12 D12 P33 H17:H18 X17:X18 X21 D27 F17:F18 D30:D31 P30:P31 R21 X8 F12 H12 J12 N21 P21 R8 R17:R18 R12 T8 T17:T18 T12 V8 V21 V17:V18 V12" unlocked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4" width="6.5703125" style="75" bestFit="1" customWidth="1"/>
    <col min="15" max="16384" width="9.7109375" style="75"/>
  </cols>
  <sheetData>
    <row r="1" spans="1:13" s="62" customFormat="1" ht="12" hidden="1" x14ac:dyDescent="0.2">
      <c r="A1" s="61"/>
      <c r="B1" s="432" t="s">
        <v>45</v>
      </c>
      <c r="C1" s="432"/>
      <c r="D1" s="432"/>
      <c r="E1" s="432"/>
      <c r="F1" s="432"/>
      <c r="G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2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2">
      <c r="A4" s="62" t="s">
        <v>42</v>
      </c>
      <c r="B4" s="67">
        <f>'Strip-Till'!B8</f>
        <v>0.7</v>
      </c>
      <c r="C4" s="68">
        <f>'Strip-Till'!D8</f>
        <v>400</v>
      </c>
      <c r="D4" s="69">
        <f>'Strip-Till'!F8</f>
        <v>4.25</v>
      </c>
      <c r="E4" s="69">
        <f>'Strip-Till'!H8</f>
        <v>9.75</v>
      </c>
      <c r="F4" s="69">
        <f>'Strip-Till'!J8</f>
        <v>3.8</v>
      </c>
      <c r="G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940</v>
      </c>
      <c r="D5" s="71">
        <f>D3*D4</f>
        <v>850</v>
      </c>
      <c r="E5" s="71">
        <f>E3*E4</f>
        <v>585</v>
      </c>
      <c r="F5" s="71">
        <f>F3*F4</f>
        <v>380</v>
      </c>
      <c r="G5" s="72"/>
    </row>
    <row r="6" spans="1:13" s="62" customFormat="1" ht="12" hidden="1" x14ac:dyDescent="0.2">
      <c r="A6" s="70" t="s">
        <v>43</v>
      </c>
      <c r="B6" s="73">
        <f>'Strip-Till'!B31</f>
        <v>540.16635992878776</v>
      </c>
      <c r="C6" s="73">
        <f>'Strip-Till'!D31</f>
        <v>651.79450000000008</v>
      </c>
      <c r="D6" s="73">
        <f>'Strip-Till'!F31</f>
        <v>670.29427500000008</v>
      </c>
      <c r="E6" s="73">
        <f>'Strip-Till'!H31</f>
        <v>319.32402145000003</v>
      </c>
      <c r="F6" s="73">
        <f>'Strip-Till'!J31</f>
        <v>350.14420000000001</v>
      </c>
      <c r="G6" s="68"/>
    </row>
    <row r="7" spans="1:13" s="62" customFormat="1" ht="15.75" x14ac:dyDescent="0.25">
      <c r="A7" s="431" t="s">
        <v>131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30" t="s">
        <v>155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13" x14ac:dyDescent="0.2">
      <c r="A10" s="424" t="s">
        <v>55</v>
      </c>
      <c r="B10" s="424"/>
      <c r="C10" s="424"/>
      <c r="D10" s="424"/>
      <c r="E10" s="424"/>
      <c r="F10" s="424"/>
      <c r="H10" s="424" t="s">
        <v>56</v>
      </c>
      <c r="I10" s="424"/>
      <c r="J10" s="424"/>
      <c r="K10" s="424"/>
      <c r="L10" s="424"/>
      <c r="M10" s="424"/>
    </row>
    <row r="11" spans="1:13" s="62" customFormat="1" ht="12" x14ac:dyDescent="0.2">
      <c r="A11" s="423" t="s">
        <v>36</v>
      </c>
      <c r="B11" s="423"/>
      <c r="C11" s="423"/>
      <c r="D11" s="423"/>
      <c r="E11" s="423"/>
      <c r="F11" s="423"/>
      <c r="H11" s="427" t="s">
        <v>36</v>
      </c>
      <c r="I11" s="427"/>
      <c r="J11" s="427"/>
      <c r="K11" s="427"/>
      <c r="L11" s="427"/>
      <c r="M11" s="427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Irrigated!A14</f>
        <v>2.9749999999999996</v>
      </c>
      <c r="B14" s="85">
        <f>$A$14*B$13-$D$6</f>
        <v>-224.04427500000014</v>
      </c>
      <c r="C14" s="85">
        <f>$A$14*C$13-$D$6</f>
        <v>-134.7942750000002</v>
      </c>
      <c r="D14" s="85">
        <f>$A$14*D$13-$D$6</f>
        <v>-75.294275000000198</v>
      </c>
      <c r="E14" s="85">
        <f>$A$14*E$13-$D$6</f>
        <v>-15.794275000000084</v>
      </c>
      <c r="F14" s="85">
        <f>$A$14*F$13-$D$6</f>
        <v>73.455724999999802</v>
      </c>
      <c r="H14" s="84">
        <f>Irrigated!H14</f>
        <v>0.48999999999999994</v>
      </c>
      <c r="I14" s="87">
        <f>$H$14*$I$13-$B$6</f>
        <v>-99.166359928787813</v>
      </c>
      <c r="J14" s="87">
        <f>$H$14*J13-$B$6</f>
        <v>-10.966359928787824</v>
      </c>
      <c r="K14" s="87">
        <f>$H$14*K13-$B$6</f>
        <v>47.83364007121213</v>
      </c>
      <c r="L14" s="87">
        <f>$H$14*L13-$B$6</f>
        <v>106.6336400712122</v>
      </c>
      <c r="M14" s="87">
        <f>$H$14*M13-$B$6</f>
        <v>194.83364007121213</v>
      </c>
    </row>
    <row r="15" spans="1:13" x14ac:dyDescent="0.2">
      <c r="A15" s="86">
        <f>Irrigated!A15</f>
        <v>3.6124999999999998</v>
      </c>
      <c r="B15" s="87">
        <f>$A$15*B$13-$D$6</f>
        <v>-128.41927500000008</v>
      </c>
      <c r="C15" s="87">
        <f>$A$15*C$13-$D$6</f>
        <v>-20.044275000000084</v>
      </c>
      <c r="D15" s="87">
        <f>$A$15*D$13-$D$6</f>
        <v>52.205724999999916</v>
      </c>
      <c r="E15" s="87">
        <f>$A$15*E$13-$D$6</f>
        <v>124.45572500000003</v>
      </c>
      <c r="F15" s="87">
        <f>$A$15*F$13-$D$6</f>
        <v>232.83072499999992</v>
      </c>
      <c r="H15" s="86">
        <f>Irrigated!H15</f>
        <v>0.59499999999999997</v>
      </c>
      <c r="I15" s="87">
        <f>$H$15*$I$13-$B$6</f>
        <v>-4.666359928787756</v>
      </c>
      <c r="J15" s="87">
        <f>$H$15*J13-$B$6</f>
        <v>102.43364007121227</v>
      </c>
      <c r="K15" s="87">
        <f>$H$15*K13-$B$6</f>
        <v>173.83364007121224</v>
      </c>
      <c r="L15" s="87">
        <f>$H$15*L13-$B$6</f>
        <v>245.23364007121222</v>
      </c>
      <c r="M15" s="87">
        <f>$H$15*M13-$B$6</f>
        <v>352.33364007121224</v>
      </c>
    </row>
    <row r="16" spans="1:13" x14ac:dyDescent="0.2">
      <c r="A16" s="86">
        <f>Irrigated!A16</f>
        <v>4.25</v>
      </c>
      <c r="B16" s="87">
        <f>$A$16*B$13-$D$6</f>
        <v>-32.794275000000084</v>
      </c>
      <c r="C16" s="87">
        <f>$A$16*C$13-$D$6</f>
        <v>94.705724999999916</v>
      </c>
      <c r="D16" s="87">
        <f>$A$16*D$13-$D$6</f>
        <v>179.70572499999992</v>
      </c>
      <c r="E16" s="87">
        <f>$A$16*E$13-$D$6</f>
        <v>264.70572500000003</v>
      </c>
      <c r="F16" s="87">
        <f>$A$16*F$13-$D$6</f>
        <v>392.20572499999992</v>
      </c>
      <c r="H16" s="86">
        <f>Irrigated!H16</f>
        <v>0.7</v>
      </c>
      <c r="I16" s="87">
        <f>$H$16*$I$13-$B$6</f>
        <v>89.833640071212244</v>
      </c>
      <c r="J16" s="87">
        <f>$H$16*J13-$B$6</f>
        <v>215.83364007121224</v>
      </c>
      <c r="K16" s="87">
        <f>$H$16*K13-$B$6</f>
        <v>299.83364007121224</v>
      </c>
      <c r="L16" s="87">
        <f>$H$16*L13-$B$6</f>
        <v>383.83364007121213</v>
      </c>
      <c r="M16" s="87">
        <f>$H$16*M13-$B$6</f>
        <v>509.83364007121224</v>
      </c>
    </row>
    <row r="17" spans="1:13" x14ac:dyDescent="0.2">
      <c r="A17" s="86">
        <f>Irrigated!A17</f>
        <v>4.8874999999999993</v>
      </c>
      <c r="B17" s="87">
        <f>$A$17*B$13-$D$6</f>
        <v>62.830724999999802</v>
      </c>
      <c r="C17" s="87">
        <f>$A$17*C$13-$D$6</f>
        <v>209.4557249999998</v>
      </c>
      <c r="D17" s="87">
        <f>$A$17*D$13-$D$6</f>
        <v>307.2057249999998</v>
      </c>
      <c r="E17" s="87">
        <f>$A$17*E$13-$D$6</f>
        <v>404.95572499999992</v>
      </c>
      <c r="F17" s="87">
        <f>$A$17*F$13-$D$6</f>
        <v>551.58072499999969</v>
      </c>
      <c r="H17" s="86">
        <f>Irrigated!H17</f>
        <v>0.80499999999999994</v>
      </c>
      <c r="I17" s="87">
        <f>$H$17*$I$13-$B$6</f>
        <v>184.33364007121224</v>
      </c>
      <c r="J17" s="87">
        <f>$H$17*J13-$B$6</f>
        <v>329.23364007121222</v>
      </c>
      <c r="K17" s="87">
        <f>$H$17*K13-$B$6</f>
        <v>425.83364007121213</v>
      </c>
      <c r="L17" s="87">
        <f>$H$17*L13-$B$6</f>
        <v>522.43364007121215</v>
      </c>
      <c r="M17" s="87">
        <f>$H$17*M13-$B$6</f>
        <v>667.33364007121224</v>
      </c>
    </row>
    <row r="18" spans="1:13" x14ac:dyDescent="0.2">
      <c r="A18" s="88">
        <f>Irrigated!A18</f>
        <v>5.5250000000000004</v>
      </c>
      <c r="B18" s="89">
        <f>$A$18*B$13-$D$6</f>
        <v>158.45572499999992</v>
      </c>
      <c r="C18" s="89">
        <f>$A$18*C$13-$D$6</f>
        <v>324.20572500000003</v>
      </c>
      <c r="D18" s="89">
        <f>$A$18*D$13-$D$6</f>
        <v>434.70572499999992</v>
      </c>
      <c r="E18" s="89">
        <f>$A$18*E$13-$D$6</f>
        <v>545.20572500000014</v>
      </c>
      <c r="F18" s="89">
        <f>$A$18*F$13-$D$6</f>
        <v>710.95572499999992</v>
      </c>
      <c r="H18" s="88">
        <f>Irrigated!H18</f>
        <v>0.90999999999999992</v>
      </c>
      <c r="I18" s="89">
        <f>$H$18*$I$13-$B$6</f>
        <v>278.83364007121213</v>
      </c>
      <c r="J18" s="89">
        <f>$H$18*J13-$B$6</f>
        <v>442.6336400712122</v>
      </c>
      <c r="K18" s="89">
        <f>$H$18*K13-$B$6</f>
        <v>551.83364007121224</v>
      </c>
      <c r="L18" s="89">
        <f>$H$18*L13-$B$6</f>
        <v>661.03364007121206</v>
      </c>
      <c r="M18" s="89">
        <f>$H$18*M13-$B$6</f>
        <v>824.83364007121202</v>
      </c>
    </row>
    <row r="20" spans="1:13" x14ac:dyDescent="0.2">
      <c r="A20" s="424" t="s">
        <v>57</v>
      </c>
      <c r="B20" s="424"/>
      <c r="C20" s="424"/>
      <c r="D20" s="424"/>
      <c r="E20" s="424"/>
      <c r="F20" s="424"/>
      <c r="H20" s="425" t="s">
        <v>122</v>
      </c>
      <c r="I20" s="425"/>
      <c r="J20" s="425"/>
      <c r="K20" s="425"/>
      <c r="L20" s="425"/>
      <c r="M20" s="425"/>
    </row>
    <row r="21" spans="1:13" s="62" customFormat="1" ht="12" x14ac:dyDescent="0.2">
      <c r="A21" s="423" t="s">
        <v>36</v>
      </c>
      <c r="B21" s="423"/>
      <c r="C21" s="423"/>
      <c r="D21" s="423"/>
      <c r="E21" s="423"/>
      <c r="F21" s="423"/>
      <c r="H21" s="426" t="s">
        <v>36</v>
      </c>
      <c r="I21" s="426"/>
      <c r="J21" s="426"/>
      <c r="K21" s="426"/>
      <c r="L21" s="426"/>
      <c r="M21" s="426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Irrigated!A24</f>
        <v>2.6599999999999997</v>
      </c>
      <c r="B24" s="85">
        <f>$A$24*B$23-$F$6</f>
        <v>-150.64420000000004</v>
      </c>
      <c r="C24" s="85">
        <f>$A$24*C$23-$F$6</f>
        <v>-110.74420000000003</v>
      </c>
      <c r="D24" s="85">
        <f>$A$24*D$23-$F$6</f>
        <v>-84.144200000000069</v>
      </c>
      <c r="E24" s="85">
        <f>$A$24*E$23-$F$6</f>
        <v>-57.544199999999989</v>
      </c>
      <c r="F24" s="85">
        <f>$A$24*F$23-$F$6</f>
        <v>-17.644200000000069</v>
      </c>
      <c r="H24" s="90">
        <f>Irrigated!H24</f>
        <v>280</v>
      </c>
      <c r="I24" s="85">
        <f>$H$24*I$23/2000-$C$6</f>
        <v>-158.29450000000008</v>
      </c>
      <c r="J24" s="85">
        <f>$H$24*J$23/2000-$C$6</f>
        <v>-59.594500000000039</v>
      </c>
      <c r="K24" s="85">
        <f>$H$24*K$23/2000-$C$6</f>
        <v>6.2054999999999154</v>
      </c>
      <c r="L24" s="85">
        <f>$H$24*L$23/2000-$C$6</f>
        <v>72.00549999999987</v>
      </c>
      <c r="M24" s="85">
        <f>$H$24*M$23/2000-$C$6</f>
        <v>170.70549999999992</v>
      </c>
    </row>
    <row r="25" spans="1:13" x14ac:dyDescent="0.2">
      <c r="A25" s="86">
        <f>Irrigated!A25</f>
        <v>3.23</v>
      </c>
      <c r="B25" s="87">
        <f>$A$25*B$23-$F$6</f>
        <v>-107.89420000000001</v>
      </c>
      <c r="C25" s="87">
        <f>$A$25*C$23-$F$6</f>
        <v>-59.444200000000023</v>
      </c>
      <c r="D25" s="87">
        <f>$A$25*D$23-$F$6</f>
        <v>-27.144200000000012</v>
      </c>
      <c r="E25" s="87">
        <f>$A$25*E$23-$F$6</f>
        <v>5.1558000000000561</v>
      </c>
      <c r="F25" s="87">
        <f>$A$25*F$23-$F$6</f>
        <v>53.605799999999988</v>
      </c>
      <c r="H25" s="91">
        <f>Irrigated!H25</f>
        <v>340</v>
      </c>
      <c r="I25" s="87">
        <f>$H$25*I$23/2000-$C$6</f>
        <v>-52.544500000000085</v>
      </c>
      <c r="J25" s="87">
        <f>$H$25*J$23/2000-$C$6</f>
        <v>67.305499999999938</v>
      </c>
      <c r="K25" s="87">
        <f>$H$25*K$23/2000-$C$6</f>
        <v>147.20549999999992</v>
      </c>
      <c r="L25" s="87">
        <f>$H$25*L$23/2000-$C$6</f>
        <v>227.10549999999989</v>
      </c>
      <c r="M25" s="87">
        <f>$H$25*M$23/2000-$C$6</f>
        <v>346.95549999999992</v>
      </c>
    </row>
    <row r="26" spans="1:13" x14ac:dyDescent="0.2">
      <c r="A26" s="86">
        <f>Irrigated!A26</f>
        <v>3.8</v>
      </c>
      <c r="B26" s="87">
        <f>$A$26*B$23-$F$6</f>
        <v>-65.144200000000012</v>
      </c>
      <c r="C26" s="87">
        <f>$A$26*C$23-$F$6</f>
        <v>-8.1442000000000121</v>
      </c>
      <c r="D26" s="87">
        <f>$A$26*D$23-$F$6</f>
        <v>29.855799999999988</v>
      </c>
      <c r="E26" s="87">
        <f>$A$26*E$23-$F$6</f>
        <v>67.855800000000045</v>
      </c>
      <c r="F26" s="87">
        <f>$A$26*F$23-$F$6</f>
        <v>124.85579999999999</v>
      </c>
      <c r="H26" s="91">
        <f>Irrigated!H26</f>
        <v>400</v>
      </c>
      <c r="I26" s="87">
        <f>$H$26*I$23/2000-$C$6</f>
        <v>53.205499999999915</v>
      </c>
      <c r="J26" s="87">
        <f>$H$26*J$23/2000-$C$6</f>
        <v>194.20549999999992</v>
      </c>
      <c r="K26" s="87">
        <f>$H$26*K$23/2000-$C$6</f>
        <v>288.20549999999992</v>
      </c>
      <c r="L26" s="87">
        <f>$H$26*L$23/2000-$C$6</f>
        <v>382.20549999999992</v>
      </c>
      <c r="M26" s="87">
        <f>$H$26*M$23/2000-$C$6</f>
        <v>523.20549999999992</v>
      </c>
    </row>
    <row r="27" spans="1:13" x14ac:dyDescent="0.2">
      <c r="A27" s="86">
        <f>Irrigated!A27</f>
        <v>4.3699999999999992</v>
      </c>
      <c r="B27" s="87">
        <f>$A$27*B$23-$F$6</f>
        <v>-22.394200000000069</v>
      </c>
      <c r="C27" s="87">
        <f>$A$27*C$23-$F$6</f>
        <v>43.155799999999942</v>
      </c>
      <c r="D27" s="87">
        <f>$A$27*D$23-$F$6</f>
        <v>86.855799999999931</v>
      </c>
      <c r="E27" s="87">
        <f>$A$27*E$23-$F$6</f>
        <v>130.55579999999998</v>
      </c>
      <c r="F27" s="87">
        <f>$A$27*F$23-$F$6</f>
        <v>196.10579999999987</v>
      </c>
      <c r="H27" s="91">
        <f>Irrigated!H27</f>
        <v>459.99999999999994</v>
      </c>
      <c r="I27" s="87">
        <f>$H$27*I$23/2000-$C$6</f>
        <v>158.9554999999998</v>
      </c>
      <c r="J27" s="87">
        <f>$H$27*J$23/2000-$C$6</f>
        <v>321.10549999999978</v>
      </c>
      <c r="K27" s="87">
        <f>$H$27*K$23/2000-$C$6</f>
        <v>429.20549999999969</v>
      </c>
      <c r="L27" s="87">
        <f>$H$27*L$23/2000-$C$6</f>
        <v>537.3054999999996</v>
      </c>
      <c r="M27" s="87">
        <f>$H$27*M$23/2000-$C$6</f>
        <v>699.45549999999969</v>
      </c>
    </row>
    <row r="28" spans="1:13" x14ac:dyDescent="0.2">
      <c r="A28" s="88">
        <f>Irrigated!A28</f>
        <v>4.9399999999999995</v>
      </c>
      <c r="B28" s="89">
        <f>$A$28*B$23-$F$6</f>
        <v>20.355799999999931</v>
      </c>
      <c r="C28" s="89">
        <f>$A$28*C$23-$F$6</f>
        <v>94.455799999999954</v>
      </c>
      <c r="D28" s="89">
        <f>$A$28*D$23-$F$6</f>
        <v>143.85579999999993</v>
      </c>
      <c r="E28" s="89">
        <f>$A$28*E$23-$F$6</f>
        <v>193.25579999999997</v>
      </c>
      <c r="F28" s="89">
        <f>$A$28*F$23-$F$6</f>
        <v>267.35579999999987</v>
      </c>
      <c r="H28" s="92">
        <f>Irrigated!H28</f>
        <v>520</v>
      </c>
      <c r="I28" s="89">
        <f>$H$28*I$23/2000-$C$6</f>
        <v>264.70549999999992</v>
      </c>
      <c r="J28" s="89">
        <f>$H$28*J$23/2000-$C$6</f>
        <v>448.00549999999987</v>
      </c>
      <c r="K28" s="89">
        <f>$H$28*K$23/2000-$C$6</f>
        <v>570.20549999999992</v>
      </c>
      <c r="L28" s="89">
        <f>$H$28*L$23/2000-$C$6</f>
        <v>692.40549999999996</v>
      </c>
      <c r="M28" s="89">
        <f>$H$28*M$23/2000-$C$6</f>
        <v>875.70549999999992</v>
      </c>
    </row>
    <row r="30" spans="1:13" x14ac:dyDescent="0.2">
      <c r="A30" s="424" t="s">
        <v>58</v>
      </c>
      <c r="B30" s="424"/>
      <c r="C30" s="424"/>
      <c r="D30" s="424"/>
      <c r="E30" s="424"/>
      <c r="F30" s="424"/>
    </row>
    <row r="31" spans="1:13" s="62" customFormat="1" ht="12" x14ac:dyDescent="0.2">
      <c r="A31" s="423" t="s">
        <v>36</v>
      </c>
      <c r="B31" s="423"/>
      <c r="C31" s="423"/>
      <c r="D31" s="423"/>
      <c r="E31" s="423"/>
      <c r="F31" s="423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2">
      <c r="A34" s="84">
        <f>Irrigated!A34</f>
        <v>6.8249999999999993</v>
      </c>
      <c r="B34" s="85">
        <f>$A$34*B$33-$E$6</f>
        <v>-12.199021450000089</v>
      </c>
      <c r="C34" s="85">
        <f>$A$34*C$33-$E$6</f>
        <v>49.225978549999923</v>
      </c>
      <c r="D34" s="85">
        <f>$A$34*D$33-$E$6</f>
        <v>90.175978549999911</v>
      </c>
      <c r="E34" s="85">
        <f>$A$34*E$33-$E$6</f>
        <v>131.1259785499999</v>
      </c>
      <c r="F34" s="85">
        <f>$A$34*F$33-$E$6</f>
        <v>192.55097854999991</v>
      </c>
    </row>
    <row r="35" spans="1:6" x14ac:dyDescent="0.2">
      <c r="A35" s="86">
        <f>Irrigated!A35</f>
        <v>8.2874999999999996</v>
      </c>
      <c r="B35" s="87">
        <f>$A$35*B$33-$E$6</f>
        <v>53.613478549999968</v>
      </c>
      <c r="C35" s="87">
        <f>$A$35*C$33-$E$6</f>
        <v>128.20097854999995</v>
      </c>
      <c r="D35" s="87">
        <f>$A$35*D$33-$E$6</f>
        <v>177.92597854999997</v>
      </c>
      <c r="E35" s="87">
        <f>$A$35*E$33-$E$6</f>
        <v>227.65097854999999</v>
      </c>
      <c r="F35" s="87">
        <f>$A$35*F$33-$E$6</f>
        <v>302.23847854999997</v>
      </c>
    </row>
    <row r="36" spans="1:6" x14ac:dyDescent="0.2">
      <c r="A36" s="86">
        <f>Irrigated!A36</f>
        <v>9.75</v>
      </c>
      <c r="B36" s="87">
        <f>$A$36*B$33-$E$6</f>
        <v>119.42597854999997</v>
      </c>
      <c r="C36" s="87">
        <f>$A$36*C$33-$E$6</f>
        <v>207.17597854999997</v>
      </c>
      <c r="D36" s="87">
        <f>$A$36*D$33-$E$6</f>
        <v>265.67597854999997</v>
      </c>
      <c r="E36" s="87">
        <f>$A$36*E$33-$E$6</f>
        <v>324.17597854999997</v>
      </c>
      <c r="F36" s="87">
        <f>$A$36*F$33-$E$6</f>
        <v>411.92597854999997</v>
      </c>
    </row>
    <row r="37" spans="1:6" x14ac:dyDescent="0.2">
      <c r="A37" s="86">
        <f>Irrigated!A37</f>
        <v>11.212499999999999</v>
      </c>
      <c r="B37" s="87">
        <f>$A$37*B$33-$E$6</f>
        <v>185.23847854999991</v>
      </c>
      <c r="C37" s="87">
        <f>$A$37*C$33-$E$6</f>
        <v>286.15097854999988</v>
      </c>
      <c r="D37" s="87">
        <f>$A$37*D$33-$E$6</f>
        <v>353.42597854999985</v>
      </c>
      <c r="E37" s="87">
        <f>$A$37*E$33-$E$6</f>
        <v>420.70097854999983</v>
      </c>
      <c r="F37" s="87">
        <f>$A$37*F$33-$E$6</f>
        <v>521.61347854999985</v>
      </c>
    </row>
    <row r="38" spans="1:6" x14ac:dyDescent="0.2">
      <c r="A38" s="88">
        <f>Irrigated!A38</f>
        <v>12.675000000000001</v>
      </c>
      <c r="B38" s="89">
        <f>$A$38*B$33-$E$6</f>
        <v>251.05097854999997</v>
      </c>
      <c r="C38" s="89">
        <f>$A$38*C$33-$E$6</f>
        <v>365.12597855000001</v>
      </c>
      <c r="D38" s="89">
        <f>$A$38*D$33-$E$6</f>
        <v>441.17597854999997</v>
      </c>
      <c r="E38" s="89">
        <f>$A$38*E$33-$E$6</f>
        <v>517.22597855000004</v>
      </c>
      <c r="F38" s="89">
        <f>$A$38*F$33-$E$6</f>
        <v>631.30097854999997</v>
      </c>
    </row>
    <row r="39" spans="1:6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6384" width="9.7109375" style="75"/>
  </cols>
  <sheetData>
    <row r="1" spans="1:13" s="62" customFormat="1" ht="12" hidden="1" x14ac:dyDescent="0.2">
      <c r="B1" s="432" t="s">
        <v>46</v>
      </c>
      <c r="C1" s="432"/>
      <c r="D1" s="432"/>
      <c r="E1" s="432"/>
      <c r="F1" s="432"/>
      <c r="G1" s="93"/>
    </row>
    <row r="2" spans="1:13" s="62" customFormat="1" ht="12" hidden="1" x14ac:dyDescent="0.2">
      <c r="A2" s="63" t="s">
        <v>40</v>
      </c>
      <c r="B2" s="64" t="str">
        <f>Conventional!N6</f>
        <v>Cotton</v>
      </c>
      <c r="C2" s="64" t="str">
        <f>Conventional!P6</f>
        <v>Peanuts</v>
      </c>
      <c r="D2" s="64" t="str">
        <f>Conventional!R6</f>
        <v>Corn</v>
      </c>
      <c r="E2" s="64" t="str">
        <f>Conventional!T6</f>
        <v>Soybeans</v>
      </c>
      <c r="F2" s="64" t="str">
        <f>Conventional!V6</f>
        <v>Sorghum</v>
      </c>
    </row>
    <row r="3" spans="1:13" s="62" customFormat="1" ht="12" hidden="1" x14ac:dyDescent="0.2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2">
      <c r="A4" s="62" t="s">
        <v>42</v>
      </c>
      <c r="B4" s="67">
        <f>'Strip-Till'!L8</f>
        <v>0.7</v>
      </c>
      <c r="C4" s="68">
        <f>'Strip-Till'!N8</f>
        <v>400</v>
      </c>
      <c r="D4" s="69">
        <f>'Strip-Till'!P8</f>
        <v>4.25</v>
      </c>
      <c r="E4" s="69">
        <f>'Strip-Till'!R8</f>
        <v>9.75</v>
      </c>
      <c r="F4" s="69">
        <f>'Strip-Till'!T8</f>
        <v>3.8</v>
      </c>
    </row>
    <row r="5" spans="1:13" s="62" customFormat="1" ht="12" hidden="1" x14ac:dyDescent="0.2">
      <c r="A5" s="70" t="s">
        <v>44</v>
      </c>
      <c r="B5" s="71">
        <f>B3*B4</f>
        <v>525</v>
      </c>
      <c r="C5" s="71">
        <f>C3*C4/2000</f>
        <v>680</v>
      </c>
      <c r="D5" s="71">
        <f>D3*D4</f>
        <v>361.25</v>
      </c>
      <c r="E5" s="71">
        <f>E3*E4</f>
        <v>292.5</v>
      </c>
      <c r="F5" s="71">
        <f>F3*F4</f>
        <v>247</v>
      </c>
    </row>
    <row r="6" spans="1:13" s="62" customFormat="1" ht="12" hidden="1" x14ac:dyDescent="0.2">
      <c r="A6" s="70" t="s">
        <v>43</v>
      </c>
      <c r="B6" s="73">
        <f>'Strip-Till'!L31</f>
        <v>449.83624742424246</v>
      </c>
      <c r="C6" s="73">
        <f>'Strip-Till'!N31</f>
        <v>559.71387499999992</v>
      </c>
      <c r="D6" s="73">
        <f>'Strip-Till'!P31</f>
        <v>331.45247896249998</v>
      </c>
      <c r="E6" s="73">
        <f>'Strip-Till'!R31</f>
        <v>248.13037935</v>
      </c>
      <c r="F6" s="73">
        <f>'Strip-Till'!T31</f>
        <v>236.59535926250001</v>
      </c>
    </row>
    <row r="7" spans="1:13" s="62" customFormat="1" ht="15.75" x14ac:dyDescent="0.25">
      <c r="A7" s="431" t="s">
        <v>132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30" t="s">
        <v>155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13" x14ac:dyDescent="0.2">
      <c r="A10" s="424" t="s">
        <v>59</v>
      </c>
      <c r="B10" s="424"/>
      <c r="C10" s="424"/>
      <c r="D10" s="424"/>
      <c r="E10" s="424"/>
      <c r="F10" s="424"/>
      <c r="H10" s="424" t="s">
        <v>62</v>
      </c>
      <c r="I10" s="424"/>
      <c r="J10" s="424"/>
      <c r="K10" s="424"/>
      <c r="L10" s="424"/>
      <c r="M10" s="424"/>
    </row>
    <row r="11" spans="1:13" s="62" customFormat="1" ht="12" x14ac:dyDescent="0.2">
      <c r="A11" s="423" t="s">
        <v>36</v>
      </c>
      <c r="B11" s="423"/>
      <c r="C11" s="423"/>
      <c r="D11" s="423"/>
      <c r="E11" s="423"/>
      <c r="F11" s="423"/>
      <c r="H11" s="427" t="s">
        <v>36</v>
      </c>
      <c r="I11" s="427"/>
      <c r="J11" s="427"/>
      <c r="K11" s="427"/>
      <c r="L11" s="427"/>
      <c r="M11" s="427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-141.79622896250001</v>
      </c>
      <c r="C14" s="85">
        <f>$A$14*C$13-$D$6</f>
        <v>-103.8649789625</v>
      </c>
      <c r="D14" s="85">
        <f>$A$14*D$13-$D$6</f>
        <v>-78.57747896250001</v>
      </c>
      <c r="E14" s="85">
        <f>$A$14*E$13-$D$6</f>
        <v>-53.289978962499958</v>
      </c>
      <c r="F14" s="85">
        <f>$A$14*F$13-$D$6</f>
        <v>-15.358728962500038</v>
      </c>
      <c r="H14" s="84">
        <f>Irrigated!H14</f>
        <v>0.48999999999999994</v>
      </c>
      <c r="I14" s="85">
        <f>$H$14*I$13-$B$6</f>
        <v>-174.21124742424252</v>
      </c>
      <c r="J14" s="85">
        <f>$H$14*J$13-$B$6</f>
        <v>-119.08624742424252</v>
      </c>
      <c r="K14" s="85">
        <f>$H$14*K$13-$B$6</f>
        <v>-82.336247424242515</v>
      </c>
      <c r="L14" s="85">
        <f>$H$14*L$13-$B$6</f>
        <v>-45.586247424242458</v>
      </c>
      <c r="M14" s="85">
        <f>$H$14*M$13-$B$6</f>
        <v>9.5387525757574849</v>
      </c>
    </row>
    <row r="15" spans="1:13" x14ac:dyDescent="0.2">
      <c r="A15" s="86">
        <f>Irrigated!A15</f>
        <v>3.6124999999999998</v>
      </c>
      <c r="B15" s="87">
        <f>$A$15*B$13-$D$6</f>
        <v>-101.15560396249998</v>
      </c>
      <c r="C15" s="87">
        <f>$A$15*C$13-$D$6</f>
        <v>-55.096228962499993</v>
      </c>
      <c r="D15" s="87">
        <f>$A$15*D$13-$D$6</f>
        <v>-24.389978962499981</v>
      </c>
      <c r="E15" s="87">
        <f>$A$15*E$13-$D$6</f>
        <v>6.3162710375000302</v>
      </c>
      <c r="F15" s="87">
        <f>$A$15*F$13-$D$6</f>
        <v>52.375646037500019</v>
      </c>
      <c r="H15" s="86">
        <f>Irrigated!H15</f>
        <v>0.59499999999999997</v>
      </c>
      <c r="I15" s="87">
        <f>$H$15*I$13-$B$6</f>
        <v>-115.14874742424246</v>
      </c>
      <c r="J15" s="87">
        <f>$H$15*J$13-$B$6</f>
        <v>-48.211247424242458</v>
      </c>
      <c r="K15" s="87">
        <f>$H$15*K$13-$B$6</f>
        <v>-3.5862474242424582</v>
      </c>
      <c r="L15" s="87">
        <f>$H$15*L$13-$B$6</f>
        <v>41.038752575757599</v>
      </c>
      <c r="M15" s="87">
        <f>$H$15*M$13-$B$6</f>
        <v>107.97625257575754</v>
      </c>
    </row>
    <row r="16" spans="1:13" x14ac:dyDescent="0.2">
      <c r="A16" s="86">
        <f>Irrigated!A16</f>
        <v>4.25</v>
      </c>
      <c r="B16" s="87">
        <f>$A$16*B$13-$D$6</f>
        <v>-60.514978962499981</v>
      </c>
      <c r="C16" s="87">
        <f>$A$16*C$13-$D$6</f>
        <v>-6.3274789624999812</v>
      </c>
      <c r="D16" s="87">
        <f>$A$16*D$13-$D$6</f>
        <v>29.797521037500019</v>
      </c>
      <c r="E16" s="87">
        <f>$A$16*E$13-$D$6</f>
        <v>65.922521037500076</v>
      </c>
      <c r="F16" s="87">
        <f>$A$16*F$13-$D$6</f>
        <v>120.11002103750002</v>
      </c>
      <c r="H16" s="86">
        <f>Irrigated!H16</f>
        <v>0.7</v>
      </c>
      <c r="I16" s="87">
        <f>$H$16*I$13-$B$6</f>
        <v>-56.086247424242458</v>
      </c>
      <c r="J16" s="87">
        <f>$H$16*J$13-$B$6</f>
        <v>22.663752575757485</v>
      </c>
      <c r="K16" s="87">
        <f>$H$16*K$13-$B$6</f>
        <v>75.163752575757542</v>
      </c>
      <c r="L16" s="87">
        <f>$H$16*L$13-$B$6</f>
        <v>127.66375257575754</v>
      </c>
      <c r="M16" s="87">
        <f>$H$16*M$13-$B$6</f>
        <v>206.41375257575754</v>
      </c>
    </row>
    <row r="17" spans="1:13" x14ac:dyDescent="0.2">
      <c r="A17" s="86">
        <f>Irrigated!A17</f>
        <v>4.8874999999999993</v>
      </c>
      <c r="B17" s="87">
        <f>$A$17*B$13-$D$6</f>
        <v>-19.874353962500038</v>
      </c>
      <c r="C17" s="87">
        <f>$A$17*C$13-$D$6</f>
        <v>42.441271037499973</v>
      </c>
      <c r="D17" s="87">
        <f>$A$17*D$13-$D$6</f>
        <v>83.985021037499962</v>
      </c>
      <c r="E17" s="87">
        <f>$A$17*E$13-$D$6</f>
        <v>125.52877103750001</v>
      </c>
      <c r="F17" s="87">
        <f>$A$17*F$13-$D$6</f>
        <v>187.84439603749991</v>
      </c>
      <c r="H17" s="86">
        <f>Irrigated!H17</f>
        <v>0.80499999999999994</v>
      </c>
      <c r="I17" s="87">
        <f>$H$17*I$13-$B$6</f>
        <v>2.9762525757574849</v>
      </c>
      <c r="J17" s="87">
        <f>$H$17*J$13-$B$6</f>
        <v>93.538752575757542</v>
      </c>
      <c r="K17" s="87">
        <f>$H$17*K$13-$B$6</f>
        <v>153.91375257575754</v>
      </c>
      <c r="L17" s="87">
        <f>$H$17*L$13-$B$6</f>
        <v>214.28875257575754</v>
      </c>
      <c r="M17" s="87">
        <f>$H$17*M$13-$B$6</f>
        <v>304.85125257575743</v>
      </c>
    </row>
    <row r="18" spans="1:13" x14ac:dyDescent="0.2">
      <c r="A18" s="88">
        <f>Irrigated!A18</f>
        <v>5.5250000000000004</v>
      </c>
      <c r="B18" s="89">
        <f>$A$18*B$13-$D$6</f>
        <v>20.766271037500019</v>
      </c>
      <c r="C18" s="89">
        <f>$A$18*C$13-$D$6</f>
        <v>91.210021037500042</v>
      </c>
      <c r="D18" s="89">
        <f>$A$18*D$13-$D$6</f>
        <v>138.17252103750008</v>
      </c>
      <c r="E18" s="89">
        <f>$A$18*E$13-$D$6</f>
        <v>185.13502103750011</v>
      </c>
      <c r="F18" s="89">
        <f>$A$18*F$13-$D$6</f>
        <v>255.57877103750002</v>
      </c>
      <c r="H18" s="88">
        <f>Irrigated!H18</f>
        <v>0.90999999999999992</v>
      </c>
      <c r="I18" s="89">
        <f>$H$18*I$13-$B$6</f>
        <v>62.038752575757485</v>
      </c>
      <c r="J18" s="89">
        <f>$H$18*J$13-$B$6</f>
        <v>164.41375257575754</v>
      </c>
      <c r="K18" s="89">
        <f>$H$18*K$13-$B$6</f>
        <v>232.66375257575743</v>
      </c>
      <c r="L18" s="89">
        <f>$H$18*L$13-$B$6</f>
        <v>300.91375257575754</v>
      </c>
      <c r="M18" s="89">
        <f>$H$18*M$13-$B$6</f>
        <v>403.28875257575743</v>
      </c>
    </row>
    <row r="20" spans="1:13" x14ac:dyDescent="0.2">
      <c r="A20" s="424" t="s">
        <v>60</v>
      </c>
      <c r="B20" s="424"/>
      <c r="C20" s="424"/>
      <c r="D20" s="424"/>
      <c r="E20" s="424"/>
      <c r="F20" s="424"/>
      <c r="H20" s="425" t="s">
        <v>123</v>
      </c>
      <c r="I20" s="425"/>
      <c r="J20" s="425"/>
      <c r="K20" s="425"/>
      <c r="L20" s="425"/>
      <c r="M20" s="425"/>
    </row>
    <row r="21" spans="1:13" s="62" customFormat="1" ht="12" x14ac:dyDescent="0.2">
      <c r="A21" s="423" t="s">
        <v>36</v>
      </c>
      <c r="B21" s="423"/>
      <c r="C21" s="423"/>
      <c r="D21" s="423"/>
      <c r="E21" s="423"/>
      <c r="F21" s="423"/>
      <c r="H21" s="426" t="s">
        <v>36</v>
      </c>
      <c r="I21" s="426"/>
      <c r="J21" s="426"/>
      <c r="K21" s="426"/>
      <c r="L21" s="426"/>
      <c r="M21" s="426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2.6599999999999997</v>
      </c>
      <c r="B24" s="85">
        <f>$A$24*B$23-$F$6</f>
        <v>-106.92035926250003</v>
      </c>
      <c r="C24" s="85">
        <f>$A$24*C$23-$F$6</f>
        <v>-80.985359262500026</v>
      </c>
      <c r="D24" s="85">
        <f>$A$24*D$23-$F$6</f>
        <v>-63.695359262500034</v>
      </c>
      <c r="E24" s="85">
        <f>$A$24*E$23-$F$6</f>
        <v>-46.405359262500042</v>
      </c>
      <c r="F24" s="85">
        <f>$A$24*F$23-$F$6</f>
        <v>-20.47035926250004</v>
      </c>
      <c r="H24" s="90">
        <f>Irrigated!H24</f>
        <v>280</v>
      </c>
      <c r="I24" s="85">
        <f>$H$24*I$23/2000-$C$6</f>
        <v>-202.71387499999992</v>
      </c>
      <c r="J24" s="85">
        <f>$H$24*J$23/2000-$C$6</f>
        <v>-131.31387499999994</v>
      </c>
      <c r="K24" s="85">
        <f>$H$24*K$23/2000-$C$6</f>
        <v>-83.713874999999916</v>
      </c>
      <c r="L24" s="85">
        <f>$H$24*L$23/2000-$C$6</f>
        <v>-36.113874999999894</v>
      </c>
      <c r="M24" s="85">
        <f>$H$24*M$23/2000-$C$6</f>
        <v>35.286125000000084</v>
      </c>
    </row>
    <row r="25" spans="1:13" x14ac:dyDescent="0.2">
      <c r="A25" s="86">
        <f>Irrigated!A25</f>
        <v>3.23</v>
      </c>
      <c r="B25" s="87">
        <f>$A$25*B$23-$F$6</f>
        <v>-79.132859262500006</v>
      </c>
      <c r="C25" s="87">
        <f>$A$25*C$23-$F$6</f>
        <v>-47.640359262499999</v>
      </c>
      <c r="D25" s="87">
        <f>$A$25*D$23-$F$6</f>
        <v>-26.645359262500023</v>
      </c>
      <c r="E25" s="87">
        <f>$A$25*E$23-$F$6</f>
        <v>-5.6503592625000181</v>
      </c>
      <c r="F25" s="87">
        <f>$A$25*F$23-$F$6</f>
        <v>25.842140737499989</v>
      </c>
      <c r="H25" s="91">
        <f>Irrigated!H25</f>
        <v>340</v>
      </c>
      <c r="I25" s="87">
        <f>$H$25*I$23/2000-$C$6</f>
        <v>-126.21387499999992</v>
      </c>
      <c r="J25" s="87">
        <f>$H$25*J$23/2000-$C$6</f>
        <v>-39.513874999999871</v>
      </c>
      <c r="K25" s="87">
        <f>$H$25*K$23/2000-$C$6</f>
        <v>18.286125000000084</v>
      </c>
      <c r="L25" s="87">
        <f>$H$25*L$23/2000-$C$6</f>
        <v>76.086125000000152</v>
      </c>
      <c r="M25" s="87">
        <f>$H$25*M$23/2000-$C$6</f>
        <v>162.78612500000008</v>
      </c>
    </row>
    <row r="26" spans="1:13" x14ac:dyDescent="0.2">
      <c r="A26" s="86">
        <f>Irrigated!A26</f>
        <v>3.8</v>
      </c>
      <c r="B26" s="87">
        <f>$A$26*B$23-$F$6</f>
        <v>-51.345359262500011</v>
      </c>
      <c r="C26" s="87">
        <f>$A$26*C$23-$F$6</f>
        <v>-14.295359262500028</v>
      </c>
      <c r="D26" s="87">
        <f>$A$26*D$23-$F$6</f>
        <v>10.404640737499989</v>
      </c>
      <c r="E26" s="87">
        <f>$A$26*E$23-$F$6</f>
        <v>35.104640737499977</v>
      </c>
      <c r="F26" s="87">
        <f>$A$26*F$23-$F$6</f>
        <v>72.154640737499989</v>
      </c>
      <c r="H26" s="91">
        <f>Irrigated!H26</f>
        <v>400</v>
      </c>
      <c r="I26" s="87">
        <f>$H$26*I$23/2000-$C$6</f>
        <v>-49.713874999999916</v>
      </c>
      <c r="J26" s="87">
        <f>$H$26*J$23/2000-$C$6</f>
        <v>52.286125000000084</v>
      </c>
      <c r="K26" s="87">
        <f>$H$26*K$23/2000-$C$6</f>
        <v>120.28612500000008</v>
      </c>
      <c r="L26" s="87">
        <f>$H$26*L$23/2000-$C$6</f>
        <v>188.2861250000002</v>
      </c>
      <c r="M26" s="87">
        <f>$H$26*M$23/2000-$C$6</f>
        <v>290.28612500000008</v>
      </c>
    </row>
    <row r="27" spans="1:13" x14ac:dyDescent="0.2">
      <c r="A27" s="86">
        <f>Irrigated!A27</f>
        <v>4.3699999999999992</v>
      </c>
      <c r="B27" s="87">
        <f>$A$27*B$23-$F$6</f>
        <v>-23.557859262500045</v>
      </c>
      <c r="C27" s="87">
        <f>$A$27*C$23-$F$6</f>
        <v>19.049640737499942</v>
      </c>
      <c r="D27" s="87">
        <f>$A$27*D$23-$F$6</f>
        <v>47.454640737499943</v>
      </c>
      <c r="E27" s="87">
        <f>$A$27*E$23-$F$6</f>
        <v>75.859640737499916</v>
      </c>
      <c r="F27" s="87">
        <f>$A$27*F$23-$F$6</f>
        <v>118.46714073749993</v>
      </c>
      <c r="H27" s="91">
        <f>Irrigated!H27</f>
        <v>459.99999999999994</v>
      </c>
      <c r="I27" s="87">
        <f>$H$27*I$23/2000-$C$6</f>
        <v>26.78612499999997</v>
      </c>
      <c r="J27" s="87">
        <f>$H$27*J$23/2000-$C$6</f>
        <v>144.08612499999992</v>
      </c>
      <c r="K27" s="87">
        <f>$H$27*K$23/2000-$C$6</f>
        <v>222.28612499999997</v>
      </c>
      <c r="L27" s="87">
        <f>$H$27*L$23/2000-$C$6</f>
        <v>300.48612500000013</v>
      </c>
      <c r="M27" s="87">
        <f>$H$27*M$23/2000-$C$6</f>
        <v>417.78612499999997</v>
      </c>
    </row>
    <row r="28" spans="1:13" x14ac:dyDescent="0.2">
      <c r="A28" s="88">
        <f>Irrigated!A28</f>
        <v>4.9399999999999995</v>
      </c>
      <c r="B28" s="89">
        <f>$A$28*B$23-$F$6</f>
        <v>4.2296407374999774</v>
      </c>
      <c r="C28" s="89">
        <f>$A$28*C$23-$F$6</f>
        <v>52.394640737499941</v>
      </c>
      <c r="D28" s="89">
        <f>$A$28*D$23-$F$6</f>
        <v>84.504640737499955</v>
      </c>
      <c r="E28" s="89">
        <f>$A$28*E$23-$F$6</f>
        <v>116.61464073749997</v>
      </c>
      <c r="F28" s="89">
        <f>$A$28*F$23-$F$6</f>
        <v>164.77964073749993</v>
      </c>
      <c r="H28" s="92">
        <f>Irrigated!H28</f>
        <v>520</v>
      </c>
      <c r="I28" s="89">
        <f>$H$28*I$23/2000-$C$6</f>
        <v>103.28612500000008</v>
      </c>
      <c r="J28" s="89">
        <f>$H$28*J$23/2000-$C$6</f>
        <v>235.88612500000011</v>
      </c>
      <c r="K28" s="89">
        <f>$H$28*K$23/2000-$C$6</f>
        <v>324.28612500000008</v>
      </c>
      <c r="L28" s="89">
        <f>$H$28*L$23/2000-$C$6</f>
        <v>412.68612500000017</v>
      </c>
      <c r="M28" s="89">
        <f>$H$28*M$23/2000-$C$6</f>
        <v>545.28612500000008</v>
      </c>
    </row>
    <row r="30" spans="1:13" x14ac:dyDescent="0.2">
      <c r="A30" s="424" t="s">
        <v>61</v>
      </c>
      <c r="B30" s="424"/>
      <c r="C30" s="424"/>
      <c r="D30" s="424"/>
      <c r="E30" s="424"/>
      <c r="F30" s="424"/>
    </row>
    <row r="31" spans="1:13" s="62" customFormat="1" ht="12" x14ac:dyDescent="0.2">
      <c r="A31" s="423" t="s">
        <v>36</v>
      </c>
      <c r="B31" s="423"/>
      <c r="C31" s="423"/>
      <c r="D31" s="423"/>
      <c r="E31" s="423"/>
      <c r="F31" s="423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2">
      <c r="A34" s="84">
        <f>Irrigated!A34</f>
        <v>6.8249999999999993</v>
      </c>
      <c r="B34" s="85">
        <f>$A$34*B$33-$E$6</f>
        <v>-94.567879350000027</v>
      </c>
      <c r="C34" s="85">
        <f>$A$34*C$33-$E$6</f>
        <v>-63.855379350000021</v>
      </c>
      <c r="D34" s="85">
        <f>$A$34*D$33-$E$6</f>
        <v>-43.380379350000027</v>
      </c>
      <c r="E34" s="85">
        <f>$A$34*E$33-$E$6</f>
        <v>-22.905379350000032</v>
      </c>
      <c r="F34" s="85">
        <f>$A$34*F$33-$E$6</f>
        <v>7.8071206499999732</v>
      </c>
      <c r="I34" s="62"/>
    </row>
    <row r="35" spans="1:9" x14ac:dyDescent="0.2">
      <c r="A35" s="86">
        <f>Irrigated!A35</f>
        <v>8.2874999999999996</v>
      </c>
      <c r="B35" s="87">
        <f>$A$35*B$33-$E$6</f>
        <v>-61.661629349999998</v>
      </c>
      <c r="C35" s="87">
        <f>$A$35*C$33-$E$6</f>
        <v>-24.36787935000001</v>
      </c>
      <c r="D35" s="87">
        <f>$A$35*D$33-$E$6</f>
        <v>0.49462065000000166</v>
      </c>
      <c r="E35" s="87">
        <f>$A$35*E$33-$E$6</f>
        <v>25.357120650000013</v>
      </c>
      <c r="F35" s="87">
        <f>$A$35*F$33-$E$6</f>
        <v>62.650870650000002</v>
      </c>
      <c r="I35" s="62"/>
    </row>
    <row r="36" spans="1:9" x14ac:dyDescent="0.2">
      <c r="A36" s="86">
        <f>Irrigated!A36</f>
        <v>9.75</v>
      </c>
      <c r="B36" s="87">
        <f>$A$36*B$33-$E$6</f>
        <v>-28.755379349999998</v>
      </c>
      <c r="C36" s="87">
        <f>$A$36*C$33-$E$6</f>
        <v>15.119620650000002</v>
      </c>
      <c r="D36" s="87">
        <f>$A$36*D$33-$E$6</f>
        <v>44.369620650000002</v>
      </c>
      <c r="E36" s="87">
        <f>$A$36*E$33-$E$6</f>
        <v>73.619620650000002</v>
      </c>
      <c r="F36" s="87">
        <f>$A$36*F$33-$E$6</f>
        <v>117.49462065</v>
      </c>
      <c r="I36" s="62"/>
    </row>
    <row r="37" spans="1:9" x14ac:dyDescent="0.2">
      <c r="A37" s="86">
        <f>Irrigated!A37</f>
        <v>11.212499999999999</v>
      </c>
      <c r="B37" s="87">
        <f>$A$37*B$33-$E$6</f>
        <v>4.1508706499999732</v>
      </c>
      <c r="C37" s="87">
        <f>$A$37*C$33-$E$6</f>
        <v>54.607120649999956</v>
      </c>
      <c r="D37" s="87">
        <f>$A$37*D$33-$E$6</f>
        <v>88.244620649999945</v>
      </c>
      <c r="E37" s="87">
        <f>$A$37*E$33-$E$6</f>
        <v>121.88212064999993</v>
      </c>
      <c r="F37" s="87">
        <f>$A$37*F$33-$E$6</f>
        <v>172.33837064999994</v>
      </c>
      <c r="I37" s="62"/>
    </row>
    <row r="38" spans="1:9" x14ac:dyDescent="0.2">
      <c r="A38" s="88">
        <f>Irrigated!A38</f>
        <v>12.675000000000001</v>
      </c>
      <c r="B38" s="89">
        <f>$A$38*B$33-$E$6</f>
        <v>37.057120650000002</v>
      </c>
      <c r="C38" s="89">
        <f>$A$38*C$33-$E$6</f>
        <v>94.094620650000024</v>
      </c>
      <c r="D38" s="89">
        <f>$A$38*D$33-$E$6</f>
        <v>132.11962065</v>
      </c>
      <c r="E38" s="89">
        <f>$A$38*E$33-$E$6</f>
        <v>170.14462065000004</v>
      </c>
      <c r="F38" s="89">
        <f>$A$38*F$33-$E$6</f>
        <v>227.18212065</v>
      </c>
      <c r="I38" s="62"/>
    </row>
    <row r="39" spans="1:9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H218"/>
  <sheetViews>
    <sheetView zoomScale="121" zoomScaleNormal="12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12" sqref="N12:O12"/>
    </sheetView>
  </sheetViews>
  <sheetFormatPr defaultColWidth="8.85546875" defaultRowHeight="12.75" x14ac:dyDescent="0.2"/>
  <cols>
    <col min="1" max="1" width="32.140625" style="96" customWidth="1"/>
    <col min="2" max="2" width="5.42578125" style="102" bestFit="1" customWidth="1"/>
    <col min="3" max="3" width="3" style="102" bestFit="1" customWidth="1"/>
    <col min="4" max="4" width="5.42578125" style="102" bestFit="1" customWidth="1"/>
    <col min="5" max="5" width="4" style="102" bestFit="1" customWidth="1"/>
    <col min="6" max="6" width="5.42578125" style="102" bestFit="1" customWidth="1"/>
    <col min="7" max="7" width="3.42578125" style="102" bestFit="1" customWidth="1"/>
    <col min="8" max="8" width="5.42578125" style="102" bestFit="1" customWidth="1"/>
    <col min="9" max="9" width="3.42578125" style="102" bestFit="1" customWidth="1"/>
    <col min="10" max="10" width="5.42578125" style="102" bestFit="1" customWidth="1"/>
    <col min="11" max="11" width="3.42578125" style="102" bestFit="1" customWidth="1"/>
    <col min="12" max="12" width="5.42578125" style="102" bestFit="1" customWidth="1"/>
    <col min="13" max="13" width="3" style="102" bestFit="1" customWidth="1"/>
    <col min="14" max="14" width="5.42578125" style="102" bestFit="1" customWidth="1"/>
    <col min="15" max="15" width="4" style="102" bestFit="1" customWidth="1"/>
    <col min="16" max="16" width="5.42578125" style="102" bestFit="1" customWidth="1"/>
    <col min="17" max="17" width="3.42578125" style="102" bestFit="1" customWidth="1"/>
    <col min="18" max="18" width="6.42578125" style="102" bestFit="1" customWidth="1"/>
    <col min="19" max="19" width="3.42578125" style="102" bestFit="1" customWidth="1"/>
    <col min="20" max="20" width="5.42578125" style="102" bestFit="1" customWidth="1"/>
    <col min="21" max="21" width="3.42578125" style="102" bestFit="1" customWidth="1"/>
    <col min="22" max="22" width="8.85546875" style="102"/>
    <col min="23" max="34" width="8.85546875" style="101"/>
    <col min="35" max="16384" width="8.85546875" style="102"/>
  </cols>
  <sheetData>
    <row r="1" spans="1:34" s="96" customFormat="1" ht="12" x14ac:dyDescent="0.2">
      <c r="A1" s="94" t="str">
        <f>Conventional!A1</f>
        <v>SUMMARY OF SOUTH GEORGIA CROP ENTERPRISE ESTIMATES, 2015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96" customFormat="1" ht="12" x14ac:dyDescent="0.2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x14ac:dyDescent="0.2">
      <c r="A3" s="248" t="s">
        <v>178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101"/>
    </row>
    <row r="4" spans="1:34" x14ac:dyDescent="0.2">
      <c r="A4" s="103" t="s">
        <v>26</v>
      </c>
      <c r="B4" s="353" t="s">
        <v>0</v>
      </c>
      <c r="C4" s="351"/>
      <c r="D4" s="351"/>
      <c r="E4" s="351"/>
      <c r="F4" s="351"/>
      <c r="G4" s="351"/>
      <c r="H4" s="351"/>
      <c r="I4" s="351"/>
      <c r="J4" s="351"/>
      <c r="K4" s="104"/>
      <c r="L4" s="363" t="s">
        <v>1</v>
      </c>
      <c r="M4" s="363"/>
      <c r="N4" s="363"/>
      <c r="O4" s="363"/>
      <c r="P4" s="363"/>
      <c r="Q4" s="363"/>
      <c r="R4" s="363"/>
      <c r="S4" s="363"/>
      <c r="T4" s="363"/>
      <c r="U4" s="105"/>
      <c r="V4" s="101"/>
    </row>
    <row r="5" spans="1:34" x14ac:dyDescent="0.2">
      <c r="A5" s="106"/>
      <c r="B5" s="107"/>
      <c r="C5" s="108"/>
      <c r="D5" s="276"/>
      <c r="E5" s="254"/>
      <c r="F5" s="288"/>
      <c r="G5" s="277"/>
      <c r="H5" s="253"/>
      <c r="I5" s="277"/>
      <c r="J5" s="359" t="s">
        <v>23</v>
      </c>
      <c r="K5" s="398"/>
      <c r="L5" s="108"/>
      <c r="M5" s="108"/>
      <c r="N5" s="276"/>
      <c r="O5" s="254"/>
      <c r="P5" s="288"/>
      <c r="Q5" s="277"/>
      <c r="R5" s="253"/>
      <c r="S5" s="277"/>
      <c r="T5" s="400" t="s">
        <v>23</v>
      </c>
      <c r="U5" s="401"/>
      <c r="V5" s="101"/>
    </row>
    <row r="6" spans="1:34" x14ac:dyDescent="0.2">
      <c r="A6" s="106"/>
      <c r="B6" s="372" t="s">
        <v>2</v>
      </c>
      <c r="C6" s="363"/>
      <c r="D6" s="396" t="s">
        <v>3</v>
      </c>
      <c r="E6" s="397"/>
      <c r="F6" s="371" t="s">
        <v>4</v>
      </c>
      <c r="G6" s="368"/>
      <c r="H6" s="363" t="s">
        <v>5</v>
      </c>
      <c r="I6" s="368"/>
      <c r="J6" s="363" t="s">
        <v>6</v>
      </c>
      <c r="K6" s="399"/>
      <c r="L6" s="372" t="s">
        <v>2</v>
      </c>
      <c r="M6" s="363"/>
      <c r="N6" s="396" t="s">
        <v>3</v>
      </c>
      <c r="O6" s="397"/>
      <c r="P6" s="371" t="s">
        <v>4</v>
      </c>
      <c r="Q6" s="368"/>
      <c r="R6" s="363" t="s">
        <v>5</v>
      </c>
      <c r="S6" s="368"/>
      <c r="T6" s="363" t="s">
        <v>6</v>
      </c>
      <c r="U6" s="364"/>
      <c r="V6" s="101"/>
    </row>
    <row r="7" spans="1:34" x14ac:dyDescent="0.2">
      <c r="A7" s="109" t="s">
        <v>156</v>
      </c>
      <c r="B7" s="110">
        <v>1200</v>
      </c>
      <c r="C7" s="111" t="s">
        <v>160</v>
      </c>
      <c r="D7" s="269">
        <f>'Peanut Price Calculator'!B10</f>
        <v>4700</v>
      </c>
      <c r="E7" s="112" t="s">
        <v>160</v>
      </c>
      <c r="F7" s="273">
        <v>200</v>
      </c>
      <c r="G7" s="271" t="s">
        <v>163</v>
      </c>
      <c r="H7" s="113">
        <v>60</v>
      </c>
      <c r="I7" s="271" t="s">
        <v>163</v>
      </c>
      <c r="J7" s="113">
        <v>100</v>
      </c>
      <c r="K7" s="114" t="s">
        <v>163</v>
      </c>
      <c r="L7" s="113">
        <v>750</v>
      </c>
      <c r="M7" s="111" t="s">
        <v>160</v>
      </c>
      <c r="N7" s="269">
        <f>'Peanut Price Calculator'!B21</f>
        <v>3400</v>
      </c>
      <c r="O7" s="112" t="s">
        <v>160</v>
      </c>
      <c r="P7" s="273">
        <v>85</v>
      </c>
      <c r="Q7" s="271" t="s">
        <v>163</v>
      </c>
      <c r="R7" s="113">
        <v>30</v>
      </c>
      <c r="S7" s="271" t="s">
        <v>163</v>
      </c>
      <c r="T7" s="113">
        <v>65</v>
      </c>
      <c r="U7" s="115" t="s">
        <v>163</v>
      </c>
      <c r="V7" s="101"/>
    </row>
    <row r="8" spans="1:34" ht="13.5" thickBot="1" x14ac:dyDescent="0.25">
      <c r="A8" s="116" t="s">
        <v>124</v>
      </c>
      <c r="B8" s="117">
        <f>Conventional!B8</f>
        <v>0.7</v>
      </c>
      <c r="C8" s="118" t="s">
        <v>161</v>
      </c>
      <c r="D8" s="270">
        <f>'Peanut Price Calculator'!B17</f>
        <v>400</v>
      </c>
      <c r="E8" s="119" t="s">
        <v>162</v>
      </c>
      <c r="F8" s="274">
        <f>Conventional!F8</f>
        <v>4.25</v>
      </c>
      <c r="G8" s="272" t="s">
        <v>164</v>
      </c>
      <c r="H8" s="120">
        <f>Conventional!H8</f>
        <v>9.75</v>
      </c>
      <c r="I8" s="272" t="s">
        <v>164</v>
      </c>
      <c r="J8" s="120">
        <f>Conventional!J8</f>
        <v>3.8</v>
      </c>
      <c r="K8" s="121" t="s">
        <v>164</v>
      </c>
      <c r="L8" s="120">
        <f>Conventional!B8</f>
        <v>0.7</v>
      </c>
      <c r="M8" s="118" t="s">
        <v>161</v>
      </c>
      <c r="N8" s="270">
        <f>'Peanut Price Calculator'!B28</f>
        <v>400</v>
      </c>
      <c r="O8" s="119" t="s">
        <v>162</v>
      </c>
      <c r="P8" s="274">
        <f>Conventional!F8</f>
        <v>4.25</v>
      </c>
      <c r="Q8" s="272" t="s">
        <v>164</v>
      </c>
      <c r="R8" s="120">
        <f>Conventional!H8</f>
        <v>9.75</v>
      </c>
      <c r="S8" s="272" t="s">
        <v>164</v>
      </c>
      <c r="T8" s="120">
        <f>Conventional!J8</f>
        <v>3.8</v>
      </c>
      <c r="U8" s="122" t="s">
        <v>164</v>
      </c>
      <c r="V8" s="101"/>
    </row>
    <row r="9" spans="1:34" x14ac:dyDescent="0.2">
      <c r="A9" s="123" t="s">
        <v>157</v>
      </c>
      <c r="B9" s="355">
        <f>B7*B8</f>
        <v>840</v>
      </c>
      <c r="C9" s="330"/>
      <c r="D9" s="338">
        <f>D8*(D7/2000)</f>
        <v>940</v>
      </c>
      <c r="E9" s="330"/>
      <c r="F9" s="338">
        <f>F7*F8</f>
        <v>850</v>
      </c>
      <c r="G9" s="339"/>
      <c r="H9" s="330">
        <f>H7*H8</f>
        <v>585</v>
      </c>
      <c r="I9" s="339"/>
      <c r="J9" s="330">
        <f>J7*J8</f>
        <v>380</v>
      </c>
      <c r="K9" s="395"/>
      <c r="L9" s="355">
        <f>L7*L8</f>
        <v>525</v>
      </c>
      <c r="M9" s="330"/>
      <c r="N9" s="338">
        <f>N8*(N7/2000)</f>
        <v>680</v>
      </c>
      <c r="O9" s="330"/>
      <c r="P9" s="338">
        <f>P7*P8</f>
        <v>361.25</v>
      </c>
      <c r="Q9" s="339"/>
      <c r="R9" s="330">
        <f>R7*R8</f>
        <v>292.5</v>
      </c>
      <c r="S9" s="339"/>
      <c r="T9" s="402">
        <f>T7*T8</f>
        <v>247</v>
      </c>
      <c r="U9" s="403"/>
      <c r="V9" s="101"/>
    </row>
    <row r="10" spans="1:34" x14ac:dyDescent="0.2">
      <c r="A10" s="124" t="s">
        <v>158</v>
      </c>
      <c r="B10" s="125"/>
      <c r="C10" s="126"/>
      <c r="D10" s="278"/>
      <c r="E10" s="126"/>
      <c r="F10" s="278"/>
      <c r="G10" s="279"/>
      <c r="H10" s="126"/>
      <c r="I10" s="279"/>
      <c r="J10" s="126"/>
      <c r="K10" s="127"/>
      <c r="L10" s="126"/>
      <c r="M10" s="126"/>
      <c r="N10" s="278"/>
      <c r="O10" s="126"/>
      <c r="P10" s="278"/>
      <c r="Q10" s="279"/>
      <c r="R10" s="126"/>
      <c r="S10" s="279"/>
      <c r="T10" s="126"/>
      <c r="U10" s="128"/>
      <c r="V10" s="101"/>
    </row>
    <row r="11" spans="1:34" x14ac:dyDescent="0.2">
      <c r="A11" s="106" t="s">
        <v>24</v>
      </c>
      <c r="B11" s="356">
        <v>100.45</v>
      </c>
      <c r="C11" s="328"/>
      <c r="D11" s="345">
        <v>105</v>
      </c>
      <c r="E11" s="328"/>
      <c r="F11" s="345">
        <v>94.4</v>
      </c>
      <c r="G11" s="346"/>
      <c r="H11" s="328">
        <f>50</f>
        <v>50</v>
      </c>
      <c r="I11" s="346"/>
      <c r="J11" s="328">
        <v>13.5</v>
      </c>
      <c r="K11" s="404"/>
      <c r="L11" s="356">
        <v>100.45</v>
      </c>
      <c r="M11" s="328"/>
      <c r="N11" s="345">
        <v>105</v>
      </c>
      <c r="O11" s="328"/>
      <c r="P11" s="345">
        <v>51</v>
      </c>
      <c r="Q11" s="346"/>
      <c r="R11" s="328">
        <v>50</v>
      </c>
      <c r="S11" s="346"/>
      <c r="T11" s="328">
        <v>8.25</v>
      </c>
      <c r="U11" s="329"/>
      <c r="V11" s="101"/>
    </row>
    <row r="12" spans="1:34" x14ac:dyDescent="0.2">
      <c r="A12" s="106" t="s">
        <v>30</v>
      </c>
      <c r="B12" s="306">
        <f>15*1.5</f>
        <v>22.5</v>
      </c>
      <c r="C12" s="307"/>
      <c r="D12" s="294">
        <v>22.5</v>
      </c>
      <c r="E12" s="307"/>
      <c r="F12" s="294">
        <v>22.5</v>
      </c>
      <c r="G12" s="295"/>
      <c r="H12" s="307">
        <v>22.5</v>
      </c>
      <c r="I12" s="295"/>
      <c r="J12" s="307">
        <v>22.5</v>
      </c>
      <c r="K12" s="388"/>
      <c r="L12" s="306">
        <v>22.5</v>
      </c>
      <c r="M12" s="307"/>
      <c r="N12" s="294">
        <v>22.5</v>
      </c>
      <c r="O12" s="307"/>
      <c r="P12" s="294">
        <v>22.5</v>
      </c>
      <c r="Q12" s="295"/>
      <c r="R12" s="307">
        <v>22.5</v>
      </c>
      <c r="S12" s="295"/>
      <c r="T12" s="307">
        <v>22.5</v>
      </c>
      <c r="U12" s="312"/>
      <c r="V12" s="101"/>
    </row>
    <row r="13" spans="1:34" x14ac:dyDescent="0.2">
      <c r="A13" s="106" t="s">
        <v>8</v>
      </c>
      <c r="B13" s="306">
        <f>B7/495*0.5</f>
        <v>1.2121212121212122</v>
      </c>
      <c r="C13" s="307"/>
      <c r="D13" s="280"/>
      <c r="E13" s="129"/>
      <c r="F13" s="280"/>
      <c r="G13" s="281"/>
      <c r="H13" s="129"/>
      <c r="I13" s="281"/>
      <c r="J13" s="129"/>
      <c r="K13" s="130"/>
      <c r="L13" s="306">
        <f>L7/495*0.5</f>
        <v>0.75757575757575757</v>
      </c>
      <c r="M13" s="307"/>
      <c r="N13" s="280"/>
      <c r="O13" s="129"/>
      <c r="P13" s="280"/>
      <c r="Q13" s="281"/>
      <c r="R13" s="129"/>
      <c r="S13" s="281"/>
      <c r="T13" s="129"/>
      <c r="U13" s="131"/>
      <c r="V13" s="101"/>
    </row>
    <row r="14" spans="1:34" x14ac:dyDescent="0.2">
      <c r="A14" s="106" t="s">
        <v>31</v>
      </c>
      <c r="B14" s="306">
        <f>14+2.63+B7*0.075*$D$47+0.05833*B7*$F$47+0.05833*B7*$H$47</f>
        <v>131.22664</v>
      </c>
      <c r="C14" s="307"/>
      <c r="D14" s="294">
        <f>8+52+2.25</f>
        <v>62.25</v>
      </c>
      <c r="E14" s="307"/>
      <c r="F14" s="294">
        <f>22+1.2*F7*$D$47+0.6*F7*$F$47+F7*$H$47</f>
        <v>304.39999999999998</v>
      </c>
      <c r="G14" s="295"/>
      <c r="H14" s="307">
        <f>4+14.52+0.6667*H7*$F$47+1.333*H7*$H$47+2.25</f>
        <v>70.762660000000011</v>
      </c>
      <c r="I14" s="295"/>
      <c r="J14" s="307">
        <f>22+1.25*J7*$D$47+0.6*J7*$F$47+0.9*J7*$H$47</f>
        <v>162.19999999999999</v>
      </c>
      <c r="K14" s="388"/>
      <c r="L14" s="306">
        <f>14+2.63+0.0933*L7*$D$47+0.0667*L7*$F$47+0.0667*L7*$H$47</f>
        <v>102.0355</v>
      </c>
      <c r="M14" s="307"/>
      <c r="N14" s="294">
        <f>8+52+2.25</f>
        <v>62.25</v>
      </c>
      <c r="O14" s="307"/>
      <c r="P14" s="294">
        <f>11+P7*1.2*$D$47+0.4706*P7*$F$47+0.7059*P7*$H$47</f>
        <v>116.041045</v>
      </c>
      <c r="Q14" s="295"/>
      <c r="R14" s="307">
        <f>4+14.52+1.3333*R7*$F$47+2.6667*R7*$H$47+2.25</f>
        <v>70.769980000000004</v>
      </c>
      <c r="S14" s="295"/>
      <c r="T14" s="307">
        <f>11+1.2308*T7*$D$47+0.6154*T7*$F$47+0.9231*T7*$H$47</f>
        <v>102.40228500000001</v>
      </c>
      <c r="U14" s="312"/>
      <c r="V14" s="101"/>
    </row>
    <row r="15" spans="1:34" x14ac:dyDescent="0.2">
      <c r="A15" s="106" t="s">
        <v>126</v>
      </c>
      <c r="B15" s="132"/>
      <c r="C15" s="129"/>
      <c r="D15" s="280"/>
      <c r="E15" s="129"/>
      <c r="F15" s="280"/>
      <c r="G15" s="281"/>
      <c r="H15" s="129"/>
      <c r="I15" s="281"/>
      <c r="J15" s="129"/>
      <c r="K15" s="130"/>
      <c r="L15" s="129"/>
      <c r="M15" s="129"/>
      <c r="N15" s="280"/>
      <c r="O15" s="129"/>
      <c r="P15" s="280"/>
      <c r="Q15" s="281"/>
      <c r="R15" s="129"/>
      <c r="S15" s="281"/>
      <c r="T15" s="129"/>
      <c r="U15" s="131"/>
      <c r="V15" s="101"/>
    </row>
    <row r="16" spans="1:34" x14ac:dyDescent="0.2">
      <c r="A16" s="106" t="s">
        <v>9</v>
      </c>
      <c r="B16" s="306">
        <f>12.63+12.5+34.58+9+9.7+3.6+14.82+9</f>
        <v>105.83000000000001</v>
      </c>
      <c r="C16" s="307"/>
      <c r="D16" s="294">
        <f>56.36+46.2+74.67</f>
        <v>177.23000000000002</v>
      </c>
      <c r="E16" s="307"/>
      <c r="F16" s="294">
        <f>22.56+18.2</f>
        <v>40.76</v>
      </c>
      <c r="G16" s="295"/>
      <c r="H16" s="307">
        <f>43.21+5.02+30.6</f>
        <v>78.830000000000013</v>
      </c>
      <c r="I16" s="295"/>
      <c r="J16" s="307">
        <f>18.2</f>
        <v>18.2</v>
      </c>
      <c r="K16" s="388"/>
      <c r="L16" s="306">
        <f>12.63+12.5+34.58+9+9.7+1.6+14.82+9</f>
        <v>103.83000000000001</v>
      </c>
      <c r="M16" s="307"/>
      <c r="N16" s="294">
        <f>64.65+40.98+46.2</f>
        <v>151.82999999999998</v>
      </c>
      <c r="O16" s="307"/>
      <c r="P16" s="294">
        <f>22.56+18.2</f>
        <v>40.76</v>
      </c>
      <c r="Q16" s="295"/>
      <c r="R16" s="307">
        <f>39.53+5.02</f>
        <v>44.55</v>
      </c>
      <c r="S16" s="295"/>
      <c r="T16" s="307">
        <f>18.2</f>
        <v>18.2</v>
      </c>
      <c r="U16" s="312"/>
      <c r="V16" s="101"/>
    </row>
    <row r="17" spans="1:22" x14ac:dyDescent="0.2">
      <c r="A17" s="106" t="s">
        <v>174</v>
      </c>
      <c r="B17" s="306"/>
      <c r="C17" s="307"/>
      <c r="D17" s="280"/>
      <c r="E17" s="129"/>
      <c r="F17" s="280"/>
      <c r="G17" s="281"/>
      <c r="H17" s="129"/>
      <c r="I17" s="281"/>
      <c r="J17" s="129"/>
      <c r="K17" s="130"/>
      <c r="L17" s="306"/>
      <c r="M17" s="307"/>
      <c r="N17" s="280"/>
      <c r="O17" s="129"/>
      <c r="P17" s="280"/>
      <c r="Q17" s="281"/>
      <c r="R17" s="129"/>
      <c r="S17" s="281"/>
      <c r="T17" s="129"/>
      <c r="U17" s="131"/>
      <c r="V17" s="101"/>
    </row>
    <row r="18" spans="1:22" x14ac:dyDescent="0.2">
      <c r="A18" s="106" t="s">
        <v>176</v>
      </c>
      <c r="B18" s="306">
        <f>Conventional!B17</f>
        <v>7.5</v>
      </c>
      <c r="C18" s="307"/>
      <c r="D18" s="294">
        <f>Conventional!D17</f>
        <v>7.5</v>
      </c>
      <c r="E18" s="295"/>
      <c r="F18" s="280"/>
      <c r="G18" s="281"/>
      <c r="H18" s="129"/>
      <c r="I18" s="281"/>
      <c r="J18" s="129"/>
      <c r="K18" s="130"/>
      <c r="L18" s="306">
        <f>Conventional!N17</f>
        <v>7.5</v>
      </c>
      <c r="M18" s="307"/>
      <c r="N18" s="294">
        <f>Conventional!P17</f>
        <v>7.5</v>
      </c>
      <c r="O18" s="295"/>
      <c r="P18" s="280"/>
      <c r="Q18" s="281"/>
      <c r="R18" s="129"/>
      <c r="S18" s="281"/>
      <c r="T18" s="129"/>
      <c r="U18" s="131"/>
      <c r="V18" s="101"/>
    </row>
    <row r="19" spans="1:22" x14ac:dyDescent="0.2">
      <c r="A19" s="106" t="s">
        <v>10</v>
      </c>
      <c r="B19" s="306">
        <f>Conventional!B18</f>
        <v>10</v>
      </c>
      <c r="C19" s="307"/>
      <c r="D19" s="294">
        <f>Conventional!D18</f>
        <v>10</v>
      </c>
      <c r="E19" s="295"/>
      <c r="F19" s="280"/>
      <c r="G19" s="281"/>
      <c r="H19" s="129"/>
      <c r="I19" s="281"/>
      <c r="J19" s="129"/>
      <c r="K19" s="130"/>
      <c r="L19" s="306">
        <f>Conventional!N18</f>
        <v>10</v>
      </c>
      <c r="M19" s="307"/>
      <c r="N19" s="294">
        <f>Conventional!P18</f>
        <v>10</v>
      </c>
      <c r="O19" s="295"/>
      <c r="P19" s="280"/>
      <c r="Q19" s="281"/>
      <c r="R19" s="129"/>
      <c r="S19" s="281"/>
      <c r="T19" s="129"/>
      <c r="U19" s="131"/>
      <c r="V19" s="101"/>
    </row>
    <row r="20" spans="1:22" x14ac:dyDescent="0.2">
      <c r="A20" s="106" t="s">
        <v>32</v>
      </c>
      <c r="B20" s="306">
        <f>11.71*$B$49</f>
        <v>33.959000000000003</v>
      </c>
      <c r="C20" s="307"/>
      <c r="D20" s="294">
        <f>(5.2+7.9)*$B$49</f>
        <v>37.99</v>
      </c>
      <c r="E20" s="307"/>
      <c r="F20" s="294">
        <f>5.9*$B$49</f>
        <v>17.11</v>
      </c>
      <c r="G20" s="295"/>
      <c r="H20" s="307">
        <f>5.5*$B$49</f>
        <v>15.95</v>
      </c>
      <c r="I20" s="295"/>
      <c r="J20" s="307">
        <f>5.9*$B$49</f>
        <v>17.11</v>
      </c>
      <c r="K20" s="388"/>
      <c r="L20" s="306">
        <f>11.24*$B$49</f>
        <v>32.595999999999997</v>
      </c>
      <c r="M20" s="307"/>
      <c r="N20" s="294">
        <f>(5.2+7.9)*$B$49</f>
        <v>37.99</v>
      </c>
      <c r="O20" s="307"/>
      <c r="P20" s="294">
        <f>5.9*$B$49</f>
        <v>17.11</v>
      </c>
      <c r="Q20" s="295"/>
      <c r="R20" s="307">
        <f>5.5*$B$49</f>
        <v>15.95</v>
      </c>
      <c r="S20" s="295"/>
      <c r="T20" s="307">
        <f>5.9*$B$49</f>
        <v>17.11</v>
      </c>
      <c r="U20" s="312"/>
      <c r="V20" s="101"/>
    </row>
    <row r="21" spans="1:22" x14ac:dyDescent="0.2">
      <c r="A21" s="106" t="s">
        <v>11</v>
      </c>
      <c r="B21" s="306">
        <f>1.05*21.83</f>
        <v>22.921499999999998</v>
      </c>
      <c r="C21" s="307"/>
      <c r="D21" s="294">
        <f>10.61+26.22</f>
        <v>36.83</v>
      </c>
      <c r="E21" s="307"/>
      <c r="F21" s="294">
        <f>7.88+7.49</f>
        <v>15.370000000000001</v>
      </c>
      <c r="G21" s="295"/>
      <c r="H21" s="294">
        <f>6.73+6.85</f>
        <v>13.58</v>
      </c>
      <c r="I21" s="295"/>
      <c r="J21" s="307">
        <f>7.88+6.52</f>
        <v>14.399999999999999</v>
      </c>
      <c r="K21" s="312"/>
      <c r="L21" s="306">
        <f>1.05*20.05</f>
        <v>21.052500000000002</v>
      </c>
      <c r="M21" s="307"/>
      <c r="N21" s="294">
        <f>10.61+26.22</f>
        <v>36.83</v>
      </c>
      <c r="O21" s="307"/>
      <c r="P21" s="294">
        <f>7.88+7.49</f>
        <v>15.370000000000001</v>
      </c>
      <c r="Q21" s="295"/>
      <c r="R21" s="307">
        <f>6.73+6.85</f>
        <v>13.58</v>
      </c>
      <c r="S21" s="295"/>
      <c r="T21" s="307">
        <f>7.88+6.52</f>
        <v>14.399999999999999</v>
      </c>
      <c r="U21" s="312"/>
      <c r="V21" s="101"/>
    </row>
    <row r="22" spans="1:22" x14ac:dyDescent="0.2">
      <c r="A22" s="106" t="s">
        <v>33</v>
      </c>
      <c r="B22" s="306">
        <f>((7*7)+(4.6*$B$49*7))/2</f>
        <v>71.19</v>
      </c>
      <c r="C22" s="307"/>
      <c r="D22" s="294">
        <f>((7*5)+(4.6*$B$49*5))/2</f>
        <v>50.849999999999994</v>
      </c>
      <c r="E22" s="307"/>
      <c r="F22" s="294">
        <f>((7*7)+(4.6*$B$49*7))/2</f>
        <v>71.19</v>
      </c>
      <c r="G22" s="295"/>
      <c r="H22" s="307">
        <f>((7*4)+(4.6*$B$49*4))/2</f>
        <v>40.679999999999993</v>
      </c>
      <c r="I22" s="295"/>
      <c r="J22" s="307">
        <f>((7*3)+(4.6*$B$49*3))/2</f>
        <v>30.509999999999998</v>
      </c>
      <c r="K22" s="388"/>
      <c r="L22" s="129"/>
      <c r="M22" s="129"/>
      <c r="N22" s="280"/>
      <c r="O22" s="129"/>
      <c r="P22" s="280"/>
      <c r="Q22" s="281"/>
      <c r="R22" s="129"/>
      <c r="S22" s="281"/>
      <c r="T22" s="129"/>
      <c r="U22" s="131"/>
      <c r="V22" s="101"/>
    </row>
    <row r="23" spans="1:22" x14ac:dyDescent="0.2">
      <c r="A23" s="106" t="s">
        <v>13</v>
      </c>
      <c r="B23" s="306">
        <v>23.59</v>
      </c>
      <c r="C23" s="307"/>
      <c r="D23" s="294">
        <v>24.45</v>
      </c>
      <c r="E23" s="307"/>
      <c r="F23" s="294">
        <v>9.94</v>
      </c>
      <c r="G23" s="295"/>
      <c r="H23" s="307">
        <v>8.9700000000000006</v>
      </c>
      <c r="I23" s="295"/>
      <c r="J23" s="307">
        <v>9.94</v>
      </c>
      <c r="K23" s="312"/>
      <c r="L23" s="306">
        <v>23.59</v>
      </c>
      <c r="M23" s="307"/>
      <c r="N23" s="294">
        <v>24.45</v>
      </c>
      <c r="O23" s="307"/>
      <c r="P23" s="294">
        <v>9.94</v>
      </c>
      <c r="Q23" s="295"/>
      <c r="R23" s="307">
        <v>8.9700000000000006</v>
      </c>
      <c r="S23" s="295"/>
      <c r="T23" s="307">
        <v>9.94</v>
      </c>
      <c r="U23" s="312"/>
      <c r="V23" s="101"/>
    </row>
    <row r="24" spans="1:22" x14ac:dyDescent="0.2">
      <c r="A24" s="106" t="s">
        <v>14</v>
      </c>
      <c r="B24" s="306">
        <f>Conventional!B23</f>
        <v>13</v>
      </c>
      <c r="C24" s="307"/>
      <c r="D24" s="294">
        <f>Conventional!D23</f>
        <v>21</v>
      </c>
      <c r="E24" s="307"/>
      <c r="F24" s="294">
        <f>Conventional!F23</f>
        <v>14</v>
      </c>
      <c r="G24" s="295"/>
      <c r="H24" s="307">
        <f>Conventional!H23</f>
        <v>8</v>
      </c>
      <c r="I24" s="295"/>
      <c r="J24" s="307">
        <f>Conventional!J23</f>
        <v>21</v>
      </c>
      <c r="K24" s="388"/>
      <c r="L24" s="129">
        <f>Conventional!N23</f>
        <v>24</v>
      </c>
      <c r="M24" s="129"/>
      <c r="N24" s="294">
        <f>Conventional!P23</f>
        <v>29</v>
      </c>
      <c r="O24" s="307"/>
      <c r="P24" s="294">
        <f>Conventional!R23</f>
        <v>23</v>
      </c>
      <c r="Q24" s="295"/>
      <c r="R24" s="307">
        <f>Conventional!T23</f>
        <v>14</v>
      </c>
      <c r="S24" s="295"/>
      <c r="T24" s="307">
        <f>Conventional!V23</f>
        <v>17</v>
      </c>
      <c r="U24" s="312"/>
      <c r="V24" s="101"/>
    </row>
    <row r="25" spans="1:22" x14ac:dyDescent="0.2">
      <c r="A25" s="106" t="s">
        <v>127</v>
      </c>
      <c r="B25" s="132"/>
      <c r="C25" s="129"/>
      <c r="D25" s="280"/>
      <c r="E25" s="129"/>
      <c r="F25" s="280"/>
      <c r="G25" s="281"/>
      <c r="H25" s="129"/>
      <c r="I25" s="281"/>
      <c r="J25" s="129"/>
      <c r="K25" s="130"/>
      <c r="L25" s="129"/>
      <c r="M25" s="129"/>
      <c r="N25" s="280"/>
      <c r="O25" s="129"/>
      <c r="P25" s="280"/>
      <c r="Q25" s="281"/>
      <c r="R25" s="129"/>
      <c r="S25" s="281"/>
      <c r="T25" s="129"/>
      <c r="U25" s="131"/>
      <c r="V25" s="101"/>
    </row>
    <row r="26" spans="1:22" x14ac:dyDescent="0.2">
      <c r="A26" s="106" t="s">
        <v>16</v>
      </c>
      <c r="B26" s="132"/>
      <c r="C26" s="129"/>
      <c r="D26" s="280"/>
      <c r="E26" s="129"/>
      <c r="F26" s="280"/>
      <c r="G26" s="281"/>
      <c r="H26" s="129"/>
      <c r="I26" s="281"/>
      <c r="J26" s="129"/>
      <c r="K26" s="130"/>
      <c r="L26" s="129"/>
      <c r="M26" s="129"/>
      <c r="N26" s="280"/>
      <c r="O26" s="129"/>
      <c r="P26" s="280"/>
      <c r="Q26" s="281"/>
      <c r="R26" s="129"/>
      <c r="S26" s="281"/>
      <c r="T26" s="129"/>
      <c r="U26" s="131"/>
      <c r="V26" s="101"/>
    </row>
    <row r="27" spans="1:22" x14ac:dyDescent="0.2">
      <c r="A27" s="106" t="s">
        <v>17</v>
      </c>
      <c r="B27" s="348">
        <f t="shared" ref="B27:T27" si="0">(SUM(B11:B26))*0.5*0.065</f>
        <v>17.659825989393937</v>
      </c>
      <c r="C27" s="324"/>
      <c r="D27" s="376">
        <f t="shared" si="0"/>
        <v>18.057000000000002</v>
      </c>
      <c r="E27" s="324"/>
      <c r="F27" s="376">
        <f t="shared" si="0"/>
        <v>19.164275000000004</v>
      </c>
      <c r="G27" s="377"/>
      <c r="H27" s="324">
        <f t="shared" si="0"/>
        <v>10.051361450000002</v>
      </c>
      <c r="I27" s="377"/>
      <c r="J27" s="324">
        <f t="shared" si="0"/>
        <v>10.054200000000002</v>
      </c>
      <c r="K27" s="389"/>
      <c r="L27" s="348">
        <f t="shared" si="0"/>
        <v>14.570126212121213</v>
      </c>
      <c r="M27" s="324"/>
      <c r="N27" s="376">
        <f t="shared" si="0"/>
        <v>15.838875</v>
      </c>
      <c r="O27" s="324"/>
      <c r="P27" s="376">
        <f t="shared" si="0"/>
        <v>9.6109339625000008</v>
      </c>
      <c r="Q27" s="377"/>
      <c r="R27" s="324">
        <f t="shared" si="0"/>
        <v>7.81039935</v>
      </c>
      <c r="S27" s="377"/>
      <c r="T27" s="324">
        <f t="shared" si="0"/>
        <v>6.8185742625000003</v>
      </c>
      <c r="U27" s="325"/>
      <c r="V27" s="101"/>
    </row>
    <row r="28" spans="1:22" x14ac:dyDescent="0.2">
      <c r="A28" s="106" t="s">
        <v>173</v>
      </c>
      <c r="B28" s="348">
        <f>B7*0.085+B7/495*17.13-1.37*B7/2000*200</f>
        <v>-20.872727272727275</v>
      </c>
      <c r="C28" s="324"/>
      <c r="D28" s="282"/>
      <c r="E28" s="133"/>
      <c r="F28" s="282"/>
      <c r="G28" s="283"/>
      <c r="H28" s="133"/>
      <c r="I28" s="283"/>
      <c r="J28" s="133"/>
      <c r="K28" s="134"/>
      <c r="L28" s="348">
        <f>L7*0.085+L7/495*17.13-1.37*L7/2000*200</f>
        <v>-13.045454545454547</v>
      </c>
      <c r="M28" s="324"/>
      <c r="N28" s="282"/>
      <c r="O28" s="133"/>
      <c r="P28" s="282"/>
      <c r="Q28" s="283"/>
      <c r="R28" s="133"/>
      <c r="S28" s="283"/>
      <c r="T28" s="133"/>
      <c r="U28" s="135"/>
      <c r="V28" s="101"/>
    </row>
    <row r="29" spans="1:22" x14ac:dyDescent="0.2">
      <c r="A29" s="106" t="s">
        <v>15</v>
      </c>
      <c r="B29" s="136"/>
      <c r="C29" s="133"/>
      <c r="D29" s="376">
        <f>D7/2000*0.33*20+D7/2000*0.67*30</f>
        <v>62.745000000000005</v>
      </c>
      <c r="E29" s="324"/>
      <c r="F29" s="376">
        <f>F7*1.0975*0.28</f>
        <v>61.46</v>
      </c>
      <c r="G29" s="377"/>
      <c r="H29" s="133"/>
      <c r="I29" s="283"/>
      <c r="J29" s="324">
        <f>J7*1.0975*0.28</f>
        <v>30.73</v>
      </c>
      <c r="K29" s="389"/>
      <c r="L29" s="133"/>
      <c r="M29" s="133"/>
      <c r="N29" s="376">
        <f>N7/2000*0.33*20+N7/2000*0.67*30</f>
        <v>45.39</v>
      </c>
      <c r="O29" s="324"/>
      <c r="P29" s="376">
        <f>P7*1.0975*0.28</f>
        <v>26.1205</v>
      </c>
      <c r="Q29" s="377"/>
      <c r="R29" s="133"/>
      <c r="S29" s="283"/>
      <c r="T29" s="324">
        <f>T7*1.0975*0.28</f>
        <v>19.974499999999999</v>
      </c>
      <c r="U29" s="325"/>
      <c r="V29" s="101"/>
    </row>
    <row r="30" spans="1:22" x14ac:dyDescent="0.2">
      <c r="A30" s="106" t="s">
        <v>18</v>
      </c>
      <c r="B30" s="136"/>
      <c r="C30" s="133"/>
      <c r="D30" s="385">
        <f>D7/2000*3+D7/2000*355*0.01</f>
        <v>15.3925</v>
      </c>
      <c r="E30" s="309"/>
      <c r="F30" s="282"/>
      <c r="G30" s="283"/>
      <c r="H30" s="133"/>
      <c r="I30" s="283"/>
      <c r="J30" s="133"/>
      <c r="K30" s="134"/>
      <c r="L30" s="133"/>
      <c r="M30" s="133"/>
      <c r="N30" s="385">
        <f>N7/2000*3+N7/2000*355*0.01</f>
        <v>11.135</v>
      </c>
      <c r="O30" s="309"/>
      <c r="P30" s="282"/>
      <c r="Q30" s="283"/>
      <c r="R30" s="133"/>
      <c r="S30" s="283"/>
      <c r="T30" s="133"/>
      <c r="U30" s="137"/>
      <c r="V30" s="101"/>
    </row>
    <row r="31" spans="1:22" ht="13.5" thickBot="1" x14ac:dyDescent="0.25">
      <c r="A31" s="138" t="s">
        <v>159</v>
      </c>
      <c r="B31" s="319">
        <f t="shared" ref="B31:T31" si="1">SUM(B11:B30)</f>
        <v>540.16635992878776</v>
      </c>
      <c r="C31" s="318"/>
      <c r="D31" s="380">
        <f t="shared" si="1"/>
        <v>651.79450000000008</v>
      </c>
      <c r="E31" s="318"/>
      <c r="F31" s="380">
        <f t="shared" si="1"/>
        <v>670.29427500000008</v>
      </c>
      <c r="G31" s="381"/>
      <c r="H31" s="318">
        <f t="shared" si="1"/>
        <v>319.32402145000003</v>
      </c>
      <c r="I31" s="381"/>
      <c r="J31" s="318">
        <f t="shared" si="1"/>
        <v>350.14420000000001</v>
      </c>
      <c r="K31" s="375"/>
      <c r="L31" s="319">
        <f t="shared" si="1"/>
        <v>449.83624742424246</v>
      </c>
      <c r="M31" s="318"/>
      <c r="N31" s="380">
        <f t="shared" si="1"/>
        <v>559.71387499999992</v>
      </c>
      <c r="O31" s="318"/>
      <c r="P31" s="380">
        <f t="shared" si="1"/>
        <v>331.45247896249998</v>
      </c>
      <c r="Q31" s="381"/>
      <c r="R31" s="318">
        <f t="shared" si="1"/>
        <v>248.13037935</v>
      </c>
      <c r="S31" s="381"/>
      <c r="T31" s="318">
        <f t="shared" si="1"/>
        <v>236.59535926250001</v>
      </c>
      <c r="U31" s="322"/>
      <c r="V31" s="101"/>
    </row>
    <row r="32" spans="1:22" x14ac:dyDescent="0.2">
      <c r="A32" s="139" t="s">
        <v>165</v>
      </c>
      <c r="B32" s="349">
        <f t="shared" ref="B32:T32" si="2">B9-B31</f>
        <v>299.83364007121224</v>
      </c>
      <c r="C32" s="332"/>
      <c r="D32" s="378">
        <f t="shared" si="2"/>
        <v>288.20549999999992</v>
      </c>
      <c r="E32" s="332"/>
      <c r="F32" s="378">
        <f t="shared" si="2"/>
        <v>179.70572499999992</v>
      </c>
      <c r="G32" s="379"/>
      <c r="H32" s="332">
        <f t="shared" si="2"/>
        <v>265.67597854999997</v>
      </c>
      <c r="I32" s="379"/>
      <c r="J32" s="332">
        <f t="shared" si="2"/>
        <v>29.855799999999988</v>
      </c>
      <c r="K32" s="394"/>
      <c r="L32" s="349">
        <f t="shared" si="2"/>
        <v>75.163752575757542</v>
      </c>
      <c r="M32" s="332"/>
      <c r="N32" s="378">
        <f t="shared" si="2"/>
        <v>120.28612500000008</v>
      </c>
      <c r="O32" s="332"/>
      <c r="P32" s="378">
        <f t="shared" si="2"/>
        <v>29.797521037500019</v>
      </c>
      <c r="Q32" s="379"/>
      <c r="R32" s="332">
        <f t="shared" si="2"/>
        <v>44.369620650000002</v>
      </c>
      <c r="S32" s="379"/>
      <c r="T32" s="332">
        <f t="shared" si="2"/>
        <v>10.404640737499989</v>
      </c>
      <c r="U32" s="333"/>
      <c r="V32" s="101"/>
    </row>
    <row r="33" spans="1:34" x14ac:dyDescent="0.2">
      <c r="A33" s="140" t="s">
        <v>125</v>
      </c>
      <c r="B33" s="141">
        <f>B31/B7</f>
        <v>0.45013863327398979</v>
      </c>
      <c r="C33" s="142" t="s">
        <v>161</v>
      </c>
      <c r="D33" s="258">
        <f>D31/D7*2000</f>
        <v>277.35936170212773</v>
      </c>
      <c r="E33" s="142" t="s">
        <v>162</v>
      </c>
      <c r="F33" s="259">
        <f>F31/F7</f>
        <v>3.3514713750000005</v>
      </c>
      <c r="G33" s="257" t="s">
        <v>164</v>
      </c>
      <c r="H33" s="143">
        <f>H31/H7</f>
        <v>5.3220670241666674</v>
      </c>
      <c r="I33" s="257" t="s">
        <v>164</v>
      </c>
      <c r="J33" s="143">
        <f>J31/J7</f>
        <v>3.5014419999999999</v>
      </c>
      <c r="K33" s="144" t="s">
        <v>164</v>
      </c>
      <c r="L33" s="143">
        <f>L31/L7</f>
        <v>0.59978166323232329</v>
      </c>
      <c r="M33" s="142" t="s">
        <v>161</v>
      </c>
      <c r="N33" s="289">
        <f>N31/N7*2000</f>
        <v>329.24345588235286</v>
      </c>
      <c r="O33" s="142" t="s">
        <v>162</v>
      </c>
      <c r="P33" s="259">
        <f>P31/P7</f>
        <v>3.8994409289705878</v>
      </c>
      <c r="Q33" s="257" t="s">
        <v>164</v>
      </c>
      <c r="R33" s="143">
        <f>R31/R7</f>
        <v>8.2710126450000008</v>
      </c>
      <c r="S33" s="257" t="s">
        <v>164</v>
      </c>
      <c r="T33" s="143">
        <f>T31/T7</f>
        <v>3.6399286040384617</v>
      </c>
      <c r="U33" s="145" t="s">
        <v>164</v>
      </c>
      <c r="V33" s="101"/>
    </row>
    <row r="34" spans="1:34" x14ac:dyDescent="0.2">
      <c r="A34" s="109" t="s">
        <v>166</v>
      </c>
      <c r="B34" s="136"/>
      <c r="C34" s="133"/>
      <c r="D34" s="282"/>
      <c r="E34" s="133"/>
      <c r="F34" s="282"/>
      <c r="G34" s="283"/>
      <c r="H34" s="133"/>
      <c r="I34" s="283"/>
      <c r="J34" s="133"/>
      <c r="K34" s="134"/>
      <c r="L34" s="133"/>
      <c r="M34" s="133"/>
      <c r="N34" s="282"/>
      <c r="O34" s="133"/>
      <c r="P34" s="282"/>
      <c r="Q34" s="283"/>
      <c r="R34" s="133"/>
      <c r="S34" s="283"/>
      <c r="T34" s="133"/>
      <c r="U34" s="135"/>
      <c r="V34" s="101"/>
    </row>
    <row r="35" spans="1:34" x14ac:dyDescent="0.2">
      <c r="A35" s="106" t="s">
        <v>19</v>
      </c>
      <c r="B35" s="306">
        <f>1.05*(34.2+10.37+57.18)</f>
        <v>106.83750000000001</v>
      </c>
      <c r="C35" s="307"/>
      <c r="D35" s="294">
        <f>28.76+79.62</f>
        <v>108.38000000000001</v>
      </c>
      <c r="E35" s="307"/>
      <c r="F35" s="294">
        <f>21.41+36.46</f>
        <v>57.870000000000005</v>
      </c>
      <c r="G35" s="295"/>
      <c r="H35" s="307">
        <f>19.15+33.46</f>
        <v>52.61</v>
      </c>
      <c r="I35" s="295"/>
      <c r="J35" s="307">
        <f>21.41+33.55</f>
        <v>54.959999999999994</v>
      </c>
      <c r="K35" s="312"/>
      <c r="L35" s="306">
        <f>(34.2+10.75+50.18)*1.05</f>
        <v>99.886499999999998</v>
      </c>
      <c r="M35" s="307"/>
      <c r="N35" s="294">
        <f>28.76+79.62</f>
        <v>108.38000000000001</v>
      </c>
      <c r="O35" s="307"/>
      <c r="P35" s="294">
        <f>21.41+36.46</f>
        <v>57.870000000000005</v>
      </c>
      <c r="Q35" s="295"/>
      <c r="R35" s="307">
        <f>19.15+33.46</f>
        <v>52.61</v>
      </c>
      <c r="S35" s="295"/>
      <c r="T35" s="307">
        <f>21.41+33.55</f>
        <v>54.959999999999994</v>
      </c>
      <c r="U35" s="312"/>
      <c r="V35" s="101"/>
    </row>
    <row r="36" spans="1:34" x14ac:dyDescent="0.2">
      <c r="A36" s="106" t="s">
        <v>12</v>
      </c>
      <c r="B36" s="306">
        <f>Conventional!B35</f>
        <v>125</v>
      </c>
      <c r="C36" s="307"/>
      <c r="D36" s="294">
        <f>Conventional!D35</f>
        <v>125</v>
      </c>
      <c r="E36" s="307"/>
      <c r="F36" s="294">
        <f>Conventional!F35</f>
        <v>125</v>
      </c>
      <c r="G36" s="295"/>
      <c r="H36" s="307">
        <f>Conventional!H35</f>
        <v>125</v>
      </c>
      <c r="I36" s="295"/>
      <c r="J36" s="307">
        <f>Conventional!J35</f>
        <v>125</v>
      </c>
      <c r="K36" s="388"/>
      <c r="L36" s="129"/>
      <c r="M36" s="129"/>
      <c r="N36" s="280"/>
      <c r="O36" s="129"/>
      <c r="P36" s="280"/>
      <c r="Q36" s="281"/>
      <c r="R36" s="129"/>
      <c r="S36" s="281"/>
      <c r="T36" s="129"/>
      <c r="U36" s="131"/>
      <c r="V36" s="101"/>
    </row>
    <row r="37" spans="1:34" x14ac:dyDescent="0.2">
      <c r="A37" s="106" t="s">
        <v>20</v>
      </c>
      <c r="B37" s="132"/>
      <c r="C37" s="129"/>
      <c r="D37" s="280"/>
      <c r="E37" s="129"/>
      <c r="F37" s="280"/>
      <c r="G37" s="281"/>
      <c r="H37" s="129"/>
      <c r="I37" s="281"/>
      <c r="J37" s="129"/>
      <c r="K37" s="130"/>
      <c r="L37" s="129"/>
      <c r="M37" s="129"/>
      <c r="N37" s="280"/>
      <c r="O37" s="129"/>
      <c r="P37" s="280"/>
      <c r="Q37" s="281"/>
      <c r="R37" s="129"/>
      <c r="S37" s="281"/>
      <c r="T37" s="129"/>
      <c r="U37" s="131"/>
      <c r="V37" s="101"/>
    </row>
    <row r="38" spans="1:34" x14ac:dyDescent="0.2">
      <c r="A38" s="106" t="s">
        <v>21</v>
      </c>
      <c r="B38" s="308">
        <f>0.05*B31</f>
        <v>27.008317996439388</v>
      </c>
      <c r="C38" s="309"/>
      <c r="D38" s="385">
        <f>0.05*D31</f>
        <v>32.589725000000008</v>
      </c>
      <c r="E38" s="309"/>
      <c r="F38" s="385">
        <f>0.05*F31</f>
        <v>33.514713750000006</v>
      </c>
      <c r="G38" s="390"/>
      <c r="H38" s="309">
        <f>0.05*H31</f>
        <v>15.966201072500002</v>
      </c>
      <c r="I38" s="390"/>
      <c r="J38" s="309">
        <f>0.05*J31</f>
        <v>17.507210000000001</v>
      </c>
      <c r="K38" s="392"/>
      <c r="L38" s="308">
        <f>0.05*L31</f>
        <v>22.491812371212124</v>
      </c>
      <c r="M38" s="309"/>
      <c r="N38" s="385">
        <f>0.05*N31</f>
        <v>27.985693749999996</v>
      </c>
      <c r="O38" s="309"/>
      <c r="P38" s="385">
        <f>0.05*P31</f>
        <v>16.572623948124999</v>
      </c>
      <c r="Q38" s="390"/>
      <c r="R38" s="309">
        <f>0.05*R31</f>
        <v>12.4065189675</v>
      </c>
      <c r="S38" s="390"/>
      <c r="T38" s="309">
        <f>0.05*T31</f>
        <v>11.829767963125001</v>
      </c>
      <c r="U38" s="320"/>
      <c r="V38" s="101"/>
    </row>
    <row r="39" spans="1:34" x14ac:dyDescent="0.2">
      <c r="A39" s="146" t="s">
        <v>167</v>
      </c>
      <c r="B39" s="310">
        <f t="shared" ref="B39:T39" si="3">SUM(B35:B38)</f>
        <v>258.84581799643939</v>
      </c>
      <c r="C39" s="311"/>
      <c r="D39" s="383">
        <f t="shared" si="3"/>
        <v>265.96972499999998</v>
      </c>
      <c r="E39" s="311"/>
      <c r="F39" s="383">
        <f t="shared" si="3"/>
        <v>216.38471375</v>
      </c>
      <c r="G39" s="391"/>
      <c r="H39" s="311">
        <f t="shared" si="3"/>
        <v>193.57620107250003</v>
      </c>
      <c r="I39" s="391"/>
      <c r="J39" s="311">
        <f t="shared" si="3"/>
        <v>197.46720999999997</v>
      </c>
      <c r="K39" s="393"/>
      <c r="L39" s="310">
        <f t="shared" si="3"/>
        <v>122.37831237121212</v>
      </c>
      <c r="M39" s="311"/>
      <c r="N39" s="383">
        <f t="shared" si="3"/>
        <v>136.36569374999999</v>
      </c>
      <c r="O39" s="311"/>
      <c r="P39" s="383">
        <f t="shared" si="3"/>
        <v>74.442623948125004</v>
      </c>
      <c r="Q39" s="391"/>
      <c r="R39" s="311">
        <f t="shared" si="3"/>
        <v>65.016518967500005</v>
      </c>
      <c r="S39" s="391"/>
      <c r="T39" s="311">
        <f t="shared" si="3"/>
        <v>66.789767963125001</v>
      </c>
      <c r="U39" s="315"/>
      <c r="V39" s="101"/>
    </row>
    <row r="40" spans="1:34" x14ac:dyDescent="0.2">
      <c r="A40" s="147"/>
      <c r="B40" s="148"/>
      <c r="C40" s="149"/>
      <c r="D40" s="284"/>
      <c r="E40" s="149"/>
      <c r="F40" s="284"/>
      <c r="G40" s="285"/>
      <c r="H40" s="149"/>
      <c r="I40" s="285"/>
      <c r="J40" s="149"/>
      <c r="K40" s="150"/>
      <c r="L40" s="149"/>
      <c r="M40" s="149"/>
      <c r="N40" s="284"/>
      <c r="O40" s="149"/>
      <c r="P40" s="284"/>
      <c r="Q40" s="285"/>
      <c r="R40" s="149"/>
      <c r="S40" s="285"/>
      <c r="T40" s="149"/>
      <c r="U40" s="151"/>
      <c r="V40" s="101"/>
    </row>
    <row r="41" spans="1:34" ht="13.5" thickBot="1" x14ac:dyDescent="0.25">
      <c r="A41" s="152" t="s">
        <v>168</v>
      </c>
      <c r="B41" s="319">
        <f>B39+B31</f>
        <v>799.01217792522721</v>
      </c>
      <c r="C41" s="318"/>
      <c r="D41" s="380">
        <f>D39+D31</f>
        <v>917.76422500000012</v>
      </c>
      <c r="E41" s="318"/>
      <c r="F41" s="380">
        <f>F39+F31</f>
        <v>886.67898875000014</v>
      </c>
      <c r="G41" s="381"/>
      <c r="H41" s="318">
        <f>H39+H31</f>
        <v>512.90022252250003</v>
      </c>
      <c r="I41" s="381"/>
      <c r="J41" s="318">
        <f>J39+J31</f>
        <v>547.61140999999998</v>
      </c>
      <c r="K41" s="375"/>
      <c r="L41" s="319">
        <f>L39+L31</f>
        <v>572.21455979545453</v>
      </c>
      <c r="M41" s="318"/>
      <c r="N41" s="380">
        <f>N39+N31</f>
        <v>696.07956874999991</v>
      </c>
      <c r="O41" s="318"/>
      <c r="P41" s="380">
        <f>P39+P31</f>
        <v>405.89510291062498</v>
      </c>
      <c r="Q41" s="381"/>
      <c r="R41" s="318">
        <f>R39+R31</f>
        <v>313.14689831750002</v>
      </c>
      <c r="S41" s="381"/>
      <c r="T41" s="318">
        <f>T39+T31</f>
        <v>303.38512722562501</v>
      </c>
      <c r="U41" s="322"/>
      <c r="V41" s="101"/>
    </row>
    <row r="42" spans="1:34" ht="13.5" thickBot="1" x14ac:dyDescent="0.25">
      <c r="A42" s="153" t="s">
        <v>169</v>
      </c>
      <c r="B42" s="316">
        <f>B9-B41</f>
        <v>40.987822074772794</v>
      </c>
      <c r="C42" s="317"/>
      <c r="D42" s="386">
        <f>D9-D41</f>
        <v>22.235774999999876</v>
      </c>
      <c r="E42" s="317"/>
      <c r="F42" s="386">
        <f>F9-F41</f>
        <v>-36.678988750000144</v>
      </c>
      <c r="G42" s="387"/>
      <c r="H42" s="317">
        <f>H9-H41</f>
        <v>72.09977747749997</v>
      </c>
      <c r="I42" s="387"/>
      <c r="J42" s="317">
        <f>J9-J41</f>
        <v>-167.61140999999998</v>
      </c>
      <c r="K42" s="374"/>
      <c r="L42" s="316">
        <f>L9-L41</f>
        <v>-47.214559795454534</v>
      </c>
      <c r="M42" s="317"/>
      <c r="N42" s="386">
        <f>N9-N41</f>
        <v>-16.079568749999908</v>
      </c>
      <c r="O42" s="317"/>
      <c r="P42" s="386">
        <f>P9-P41</f>
        <v>-44.645102910624985</v>
      </c>
      <c r="Q42" s="387"/>
      <c r="R42" s="317">
        <f>R9-R41</f>
        <v>-20.646898317500018</v>
      </c>
      <c r="S42" s="387"/>
      <c r="T42" s="317">
        <f>T9-T41</f>
        <v>-56.385127225625013</v>
      </c>
      <c r="U42" s="323"/>
      <c r="V42" s="101"/>
    </row>
    <row r="43" spans="1:34" ht="13.5" thickTop="1" x14ac:dyDescent="0.2">
      <c r="A43" s="106"/>
      <c r="B43" s="154"/>
      <c r="C43" s="155"/>
      <c r="D43" s="286"/>
      <c r="E43" s="155"/>
      <c r="F43" s="286"/>
      <c r="G43" s="287"/>
      <c r="H43" s="155"/>
      <c r="I43" s="287"/>
      <c r="J43" s="155"/>
      <c r="K43" s="156"/>
      <c r="L43" s="155"/>
      <c r="M43" s="155"/>
      <c r="N43" s="286"/>
      <c r="O43" s="155"/>
      <c r="P43" s="286"/>
      <c r="Q43" s="287"/>
      <c r="R43" s="155"/>
      <c r="S43" s="287"/>
      <c r="T43" s="155"/>
      <c r="U43" s="157"/>
      <c r="V43" s="101"/>
    </row>
    <row r="44" spans="1:34" x14ac:dyDescent="0.2">
      <c r="A44" s="140" t="s">
        <v>34</v>
      </c>
      <c r="B44" s="158">
        <f>B41/B7</f>
        <v>0.66584348160435602</v>
      </c>
      <c r="C44" s="159" t="s">
        <v>161</v>
      </c>
      <c r="D44" s="261">
        <f>D41/D7*2000</f>
        <v>390.53796808510646</v>
      </c>
      <c r="E44" s="142" t="s">
        <v>162</v>
      </c>
      <c r="F44" s="262">
        <f>F41/F7</f>
        <v>4.4333949437500006</v>
      </c>
      <c r="G44" s="257" t="s">
        <v>164</v>
      </c>
      <c r="H44" s="160">
        <f>H41/H7</f>
        <v>8.548337042041668</v>
      </c>
      <c r="I44" s="257" t="s">
        <v>164</v>
      </c>
      <c r="J44" s="160">
        <f>J41/J7</f>
        <v>5.4761141000000002</v>
      </c>
      <c r="K44" s="144" t="s">
        <v>164</v>
      </c>
      <c r="L44" s="160">
        <f>L41/L7</f>
        <v>0.7629527463939394</v>
      </c>
      <c r="M44" s="159" t="s">
        <v>161</v>
      </c>
      <c r="N44" s="261">
        <f>N41/N7*2000</f>
        <v>409.45856985294108</v>
      </c>
      <c r="O44" s="142" t="s">
        <v>162</v>
      </c>
      <c r="P44" s="262">
        <f>P41/P7</f>
        <v>4.7752365048308825</v>
      </c>
      <c r="Q44" s="257" t="s">
        <v>164</v>
      </c>
      <c r="R44" s="160">
        <f>R41/R7</f>
        <v>10.438229943916667</v>
      </c>
      <c r="S44" s="257" t="s">
        <v>164</v>
      </c>
      <c r="T44" s="160">
        <f>T41/T7</f>
        <v>4.6674634957788461</v>
      </c>
      <c r="U44" s="145" t="s">
        <v>164</v>
      </c>
      <c r="V44" s="101"/>
    </row>
    <row r="45" spans="1:34" x14ac:dyDescent="0.2">
      <c r="A45" s="161" t="s">
        <v>170</v>
      </c>
      <c r="B45" s="162">
        <f>B41/B8</f>
        <v>1141.4459684646104</v>
      </c>
      <c r="C45" s="163" t="s">
        <v>160</v>
      </c>
      <c r="D45" s="264">
        <f>D41/D8*2000</f>
        <v>4588.8211250000004</v>
      </c>
      <c r="E45" s="163" t="s">
        <v>160</v>
      </c>
      <c r="F45" s="265">
        <f>F41/F8</f>
        <v>208.63035029411768</v>
      </c>
      <c r="G45" s="257" t="s">
        <v>163</v>
      </c>
      <c r="H45" s="164">
        <f>H41/H8</f>
        <v>52.605151027948722</v>
      </c>
      <c r="I45" s="257" t="s">
        <v>163</v>
      </c>
      <c r="J45" s="164">
        <f>J41/J8</f>
        <v>144.10826578947368</v>
      </c>
      <c r="K45" s="144" t="s">
        <v>163</v>
      </c>
      <c r="L45" s="164">
        <f>L41/L8</f>
        <v>817.44937113636365</v>
      </c>
      <c r="M45" s="163" t="s">
        <v>160</v>
      </c>
      <c r="N45" s="264">
        <f>N41/N8*2000</f>
        <v>3480.3978437499995</v>
      </c>
      <c r="O45" s="163" t="s">
        <v>160</v>
      </c>
      <c r="P45" s="265">
        <f>P41/P8</f>
        <v>95.504730096617649</v>
      </c>
      <c r="Q45" s="257" t="s">
        <v>163</v>
      </c>
      <c r="R45" s="164">
        <f>R41/R8</f>
        <v>32.117630596666672</v>
      </c>
      <c r="S45" s="257" t="s">
        <v>163</v>
      </c>
      <c r="T45" s="164">
        <f>T41/T8</f>
        <v>79.838191375164484</v>
      </c>
      <c r="U45" s="145" t="s">
        <v>163</v>
      </c>
      <c r="V45" s="101"/>
    </row>
    <row r="46" spans="1:34" s="167" customFormat="1" ht="12" x14ac:dyDescent="0.2">
      <c r="A46" s="384" t="s">
        <v>182</v>
      </c>
      <c r="B46" s="384"/>
      <c r="C46" s="384"/>
      <c r="D46" s="384"/>
      <c r="E46" s="384"/>
      <c r="F46" s="166"/>
      <c r="G46" s="166"/>
      <c r="H46" s="166"/>
      <c r="I46" s="165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98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s="96" customFormat="1" ht="12" x14ac:dyDescent="0.2">
      <c r="A47" s="98" t="s">
        <v>183</v>
      </c>
      <c r="B47" s="98"/>
      <c r="C47" s="168" t="s">
        <v>171</v>
      </c>
      <c r="D47" s="255">
        <f>Conventional!D45</f>
        <v>0.62</v>
      </c>
      <c r="E47" s="169" t="s">
        <v>65</v>
      </c>
      <c r="F47" s="266">
        <f>Conventional!F45</f>
        <v>0.43</v>
      </c>
      <c r="G47" s="169" t="s">
        <v>66</v>
      </c>
      <c r="H47" s="266">
        <f>Conventional!H45</f>
        <v>0.41</v>
      </c>
      <c r="I47" s="95"/>
      <c r="J47" s="266"/>
      <c r="K47" s="255"/>
      <c r="L47" s="95"/>
      <c r="M47" s="95"/>
      <c r="N47" s="266"/>
      <c r="O47" s="255"/>
      <c r="P47" s="98"/>
      <c r="Q47" s="98"/>
      <c r="R47" s="98"/>
      <c r="S47" s="98"/>
      <c r="T47" s="98"/>
      <c r="U47" s="98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2">
      <c r="A48" s="382" t="str">
        <f>Conventional!A47</f>
        <v>*** Average of diesel and electric irrigation application costs.  Electric is estimated at $7/appl and diesel is estimated at $13.70/appl when diesel cost $2.90/gal.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170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2">
      <c r="A49" s="171" t="s">
        <v>154</v>
      </c>
      <c r="B49" s="172">
        <f>Conventional!B46</f>
        <v>2.9</v>
      </c>
      <c r="C49" s="382" t="s">
        <v>67</v>
      </c>
      <c r="D49" s="382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101" customFormat="1" x14ac:dyDescent="0.2">
      <c r="A50" s="95"/>
    </row>
    <row r="51" spans="1:34" s="101" customFormat="1" x14ac:dyDescent="0.2">
      <c r="A51" s="95"/>
    </row>
    <row r="52" spans="1:34" s="101" customFormat="1" x14ac:dyDescent="0.2">
      <c r="A52" s="95"/>
    </row>
    <row r="53" spans="1:34" s="101" customFormat="1" x14ac:dyDescent="0.2">
      <c r="A53" s="95"/>
    </row>
    <row r="54" spans="1:34" s="101" customFormat="1" x14ac:dyDescent="0.2">
      <c r="A54" s="95"/>
    </row>
    <row r="55" spans="1:34" s="101" customFormat="1" x14ac:dyDescent="0.2">
      <c r="A55" s="95"/>
    </row>
    <row r="56" spans="1:34" s="101" customFormat="1" x14ac:dyDescent="0.2">
      <c r="A56" s="95"/>
    </row>
    <row r="57" spans="1:34" s="101" customFormat="1" x14ac:dyDescent="0.2">
      <c r="A57" s="95"/>
    </row>
    <row r="58" spans="1:34" s="101" customFormat="1" x14ac:dyDescent="0.2">
      <c r="A58" s="95"/>
    </row>
    <row r="59" spans="1:34" s="101" customFormat="1" x14ac:dyDescent="0.2">
      <c r="A59" s="95"/>
    </row>
    <row r="60" spans="1:34" s="101" customFormat="1" x14ac:dyDescent="0.2">
      <c r="A60" s="95"/>
    </row>
    <row r="61" spans="1:34" s="101" customFormat="1" x14ac:dyDescent="0.2">
      <c r="A61" s="95"/>
    </row>
    <row r="62" spans="1:34" s="101" customFormat="1" x14ac:dyDescent="0.2">
      <c r="A62" s="95"/>
    </row>
    <row r="63" spans="1:34" s="101" customFormat="1" x14ac:dyDescent="0.2">
      <c r="A63" s="95"/>
    </row>
    <row r="64" spans="1:34" s="101" customFormat="1" x14ac:dyDescent="0.2">
      <c r="A64" s="95"/>
    </row>
    <row r="65" spans="1:1" s="101" customFormat="1" x14ac:dyDescent="0.2">
      <c r="A65" s="95"/>
    </row>
    <row r="66" spans="1:1" s="101" customFormat="1" x14ac:dyDescent="0.2">
      <c r="A66" s="95"/>
    </row>
    <row r="67" spans="1:1" s="101" customFormat="1" x14ac:dyDescent="0.2">
      <c r="A67" s="95"/>
    </row>
    <row r="68" spans="1:1" s="101" customFormat="1" x14ac:dyDescent="0.2">
      <c r="A68" s="95"/>
    </row>
    <row r="69" spans="1:1" s="101" customFormat="1" x14ac:dyDescent="0.2">
      <c r="A69" s="95"/>
    </row>
    <row r="70" spans="1:1" s="101" customFormat="1" x14ac:dyDescent="0.2">
      <c r="A70" s="95"/>
    </row>
    <row r="71" spans="1:1" s="101" customFormat="1" x14ac:dyDescent="0.2">
      <c r="A71" s="95"/>
    </row>
    <row r="72" spans="1:1" s="101" customFormat="1" x14ac:dyDescent="0.2">
      <c r="A72" s="95"/>
    </row>
    <row r="73" spans="1:1" s="101" customFormat="1" x14ac:dyDescent="0.2">
      <c r="A73" s="95"/>
    </row>
    <row r="74" spans="1:1" s="101" customFormat="1" x14ac:dyDescent="0.2">
      <c r="A74" s="95"/>
    </row>
    <row r="75" spans="1:1" s="101" customFormat="1" x14ac:dyDescent="0.2">
      <c r="A75" s="95"/>
    </row>
    <row r="76" spans="1:1" s="101" customFormat="1" x14ac:dyDescent="0.2">
      <c r="A76" s="95"/>
    </row>
    <row r="77" spans="1:1" s="101" customFormat="1" x14ac:dyDescent="0.2">
      <c r="A77" s="95"/>
    </row>
    <row r="78" spans="1:1" s="101" customFormat="1" x14ac:dyDescent="0.2">
      <c r="A78" s="95"/>
    </row>
    <row r="79" spans="1:1" s="101" customFormat="1" x14ac:dyDescent="0.2">
      <c r="A79" s="95"/>
    </row>
    <row r="80" spans="1:1" s="101" customFormat="1" x14ac:dyDescent="0.2">
      <c r="A80" s="95"/>
    </row>
    <row r="81" spans="1:1" s="101" customFormat="1" x14ac:dyDescent="0.2">
      <c r="A81" s="95"/>
    </row>
    <row r="82" spans="1:1" s="101" customFormat="1" x14ac:dyDescent="0.2">
      <c r="A82" s="95"/>
    </row>
    <row r="83" spans="1:1" s="101" customFormat="1" x14ac:dyDescent="0.2">
      <c r="A83" s="95"/>
    </row>
    <row r="84" spans="1:1" s="101" customFormat="1" x14ac:dyDescent="0.2">
      <c r="A84" s="95"/>
    </row>
    <row r="85" spans="1:1" s="101" customFormat="1" x14ac:dyDescent="0.2">
      <c r="A85" s="95"/>
    </row>
    <row r="86" spans="1:1" s="101" customFormat="1" x14ac:dyDescent="0.2">
      <c r="A86" s="95"/>
    </row>
    <row r="87" spans="1:1" s="101" customFormat="1" x14ac:dyDescent="0.2">
      <c r="A87" s="95"/>
    </row>
    <row r="88" spans="1:1" s="101" customFormat="1" x14ac:dyDescent="0.2">
      <c r="A88" s="95"/>
    </row>
    <row r="89" spans="1:1" s="101" customFormat="1" x14ac:dyDescent="0.2">
      <c r="A89" s="95"/>
    </row>
    <row r="90" spans="1:1" s="101" customFormat="1" x14ac:dyDescent="0.2">
      <c r="A90" s="95"/>
    </row>
    <row r="91" spans="1:1" s="101" customFormat="1" x14ac:dyDescent="0.2">
      <c r="A91" s="95"/>
    </row>
    <row r="92" spans="1:1" s="101" customFormat="1" x14ac:dyDescent="0.2">
      <c r="A92" s="95"/>
    </row>
    <row r="93" spans="1:1" s="101" customFormat="1" x14ac:dyDescent="0.2">
      <c r="A93" s="95"/>
    </row>
    <row r="94" spans="1:1" s="101" customFormat="1" x14ac:dyDescent="0.2">
      <c r="A94" s="95"/>
    </row>
    <row r="95" spans="1:1" s="101" customFormat="1" x14ac:dyDescent="0.2">
      <c r="A95" s="95"/>
    </row>
    <row r="96" spans="1:1" s="101" customFormat="1" x14ac:dyDescent="0.2">
      <c r="A96" s="95"/>
    </row>
    <row r="97" spans="1:1" s="101" customFormat="1" x14ac:dyDescent="0.2">
      <c r="A97" s="95"/>
    </row>
    <row r="98" spans="1:1" s="101" customFormat="1" x14ac:dyDescent="0.2">
      <c r="A98" s="95"/>
    </row>
    <row r="99" spans="1:1" s="101" customFormat="1" x14ac:dyDescent="0.2">
      <c r="A99" s="95"/>
    </row>
    <row r="100" spans="1:1" s="101" customFormat="1" x14ac:dyDescent="0.2">
      <c r="A100" s="95"/>
    </row>
    <row r="101" spans="1:1" s="101" customFormat="1" x14ac:dyDescent="0.2">
      <c r="A101" s="95"/>
    </row>
    <row r="102" spans="1:1" s="101" customFormat="1" x14ac:dyDescent="0.2">
      <c r="A102" s="95"/>
    </row>
    <row r="103" spans="1:1" s="101" customFormat="1" x14ac:dyDescent="0.2">
      <c r="A103" s="95"/>
    </row>
    <row r="104" spans="1:1" s="101" customFormat="1" x14ac:dyDescent="0.2">
      <c r="A104" s="95"/>
    </row>
    <row r="105" spans="1:1" s="101" customFormat="1" x14ac:dyDescent="0.2">
      <c r="A105" s="95"/>
    </row>
    <row r="106" spans="1:1" s="101" customFormat="1" x14ac:dyDescent="0.2">
      <c r="A106" s="95"/>
    </row>
    <row r="107" spans="1:1" s="101" customFormat="1" x14ac:dyDescent="0.2">
      <c r="A107" s="95"/>
    </row>
    <row r="108" spans="1:1" s="101" customFormat="1" x14ac:dyDescent="0.2">
      <c r="A108" s="95"/>
    </row>
    <row r="109" spans="1:1" s="101" customFormat="1" x14ac:dyDescent="0.2">
      <c r="A109" s="95"/>
    </row>
    <row r="110" spans="1:1" s="101" customFormat="1" x14ac:dyDescent="0.2">
      <c r="A110" s="95"/>
    </row>
    <row r="111" spans="1:1" s="101" customFormat="1" x14ac:dyDescent="0.2">
      <c r="A111" s="95"/>
    </row>
    <row r="112" spans="1:1" s="101" customFormat="1" x14ac:dyDescent="0.2">
      <c r="A112" s="95"/>
    </row>
    <row r="113" spans="1:1" s="101" customFormat="1" x14ac:dyDescent="0.2">
      <c r="A113" s="95"/>
    </row>
    <row r="114" spans="1:1" s="101" customFormat="1" x14ac:dyDescent="0.2">
      <c r="A114" s="95"/>
    </row>
    <row r="115" spans="1:1" s="101" customFormat="1" x14ac:dyDescent="0.2">
      <c r="A115" s="95"/>
    </row>
    <row r="116" spans="1:1" s="101" customFormat="1" x14ac:dyDescent="0.2">
      <c r="A116" s="95"/>
    </row>
    <row r="117" spans="1:1" s="101" customFormat="1" x14ac:dyDescent="0.2">
      <c r="A117" s="95"/>
    </row>
    <row r="118" spans="1:1" s="101" customFormat="1" x14ac:dyDescent="0.2">
      <c r="A118" s="95"/>
    </row>
    <row r="119" spans="1:1" s="101" customFormat="1" x14ac:dyDescent="0.2">
      <c r="A119" s="95"/>
    </row>
    <row r="120" spans="1:1" s="101" customFormat="1" x14ac:dyDescent="0.2">
      <c r="A120" s="95"/>
    </row>
    <row r="121" spans="1:1" s="101" customFormat="1" x14ac:dyDescent="0.2">
      <c r="A121" s="95"/>
    </row>
    <row r="122" spans="1:1" s="101" customFormat="1" x14ac:dyDescent="0.2">
      <c r="A122" s="95"/>
    </row>
    <row r="123" spans="1:1" s="101" customFormat="1" x14ac:dyDescent="0.2">
      <c r="A123" s="95"/>
    </row>
    <row r="124" spans="1:1" s="101" customFormat="1" x14ac:dyDescent="0.2">
      <c r="A124" s="95"/>
    </row>
    <row r="125" spans="1:1" s="101" customFormat="1" x14ac:dyDescent="0.2">
      <c r="A125" s="95"/>
    </row>
    <row r="126" spans="1:1" s="101" customFormat="1" x14ac:dyDescent="0.2">
      <c r="A126" s="95"/>
    </row>
    <row r="127" spans="1:1" s="101" customFormat="1" x14ac:dyDescent="0.2">
      <c r="A127" s="95"/>
    </row>
    <row r="128" spans="1:1" s="101" customFormat="1" x14ac:dyDescent="0.2">
      <c r="A128" s="95"/>
    </row>
    <row r="129" spans="1:1" s="101" customFormat="1" x14ac:dyDescent="0.2">
      <c r="A129" s="95"/>
    </row>
    <row r="130" spans="1:1" s="101" customFormat="1" x14ac:dyDescent="0.2">
      <c r="A130" s="95"/>
    </row>
    <row r="131" spans="1:1" s="101" customFormat="1" x14ac:dyDescent="0.2">
      <c r="A131" s="95"/>
    </row>
    <row r="132" spans="1:1" s="101" customFormat="1" x14ac:dyDescent="0.2">
      <c r="A132" s="95"/>
    </row>
    <row r="133" spans="1:1" s="101" customFormat="1" x14ac:dyDescent="0.2">
      <c r="A133" s="95"/>
    </row>
    <row r="134" spans="1:1" s="101" customFormat="1" x14ac:dyDescent="0.2">
      <c r="A134" s="95"/>
    </row>
    <row r="135" spans="1:1" s="101" customFormat="1" x14ac:dyDescent="0.2">
      <c r="A135" s="95"/>
    </row>
    <row r="136" spans="1:1" s="101" customFormat="1" x14ac:dyDescent="0.2">
      <c r="A136" s="95"/>
    </row>
    <row r="137" spans="1:1" s="101" customFormat="1" x14ac:dyDescent="0.2">
      <c r="A137" s="95"/>
    </row>
    <row r="138" spans="1:1" s="101" customFormat="1" x14ac:dyDescent="0.2">
      <c r="A138" s="95"/>
    </row>
    <row r="139" spans="1:1" s="101" customFormat="1" x14ac:dyDescent="0.2">
      <c r="A139" s="95"/>
    </row>
    <row r="140" spans="1:1" s="101" customFormat="1" x14ac:dyDescent="0.2">
      <c r="A140" s="95"/>
    </row>
    <row r="141" spans="1:1" s="101" customFormat="1" x14ac:dyDescent="0.2">
      <c r="A141" s="95"/>
    </row>
    <row r="142" spans="1:1" s="101" customFormat="1" x14ac:dyDescent="0.2">
      <c r="A142" s="95"/>
    </row>
    <row r="143" spans="1:1" s="101" customFormat="1" x14ac:dyDescent="0.2">
      <c r="A143" s="95"/>
    </row>
    <row r="144" spans="1:1" s="101" customFormat="1" x14ac:dyDescent="0.2">
      <c r="A144" s="95"/>
    </row>
    <row r="145" spans="1:1" s="101" customFormat="1" x14ac:dyDescent="0.2">
      <c r="A145" s="95"/>
    </row>
    <row r="146" spans="1:1" s="101" customFormat="1" x14ac:dyDescent="0.2">
      <c r="A146" s="95"/>
    </row>
    <row r="147" spans="1:1" s="101" customFormat="1" x14ac:dyDescent="0.2">
      <c r="A147" s="95"/>
    </row>
    <row r="148" spans="1:1" s="101" customFormat="1" x14ac:dyDescent="0.2">
      <c r="A148" s="95"/>
    </row>
    <row r="149" spans="1:1" s="101" customFormat="1" x14ac:dyDescent="0.2">
      <c r="A149" s="95"/>
    </row>
    <row r="150" spans="1:1" s="101" customFormat="1" x14ac:dyDescent="0.2">
      <c r="A150" s="95"/>
    </row>
    <row r="151" spans="1:1" s="101" customFormat="1" x14ac:dyDescent="0.2">
      <c r="A151" s="95"/>
    </row>
    <row r="152" spans="1:1" s="101" customFormat="1" x14ac:dyDescent="0.2">
      <c r="A152" s="95"/>
    </row>
    <row r="153" spans="1:1" s="101" customFormat="1" x14ac:dyDescent="0.2">
      <c r="A153" s="95"/>
    </row>
    <row r="154" spans="1:1" s="101" customFormat="1" x14ac:dyDescent="0.2">
      <c r="A154" s="95"/>
    </row>
    <row r="155" spans="1:1" s="101" customFormat="1" x14ac:dyDescent="0.2">
      <c r="A155" s="95"/>
    </row>
    <row r="156" spans="1:1" s="101" customFormat="1" x14ac:dyDescent="0.2">
      <c r="A156" s="95"/>
    </row>
    <row r="157" spans="1:1" s="101" customFormat="1" x14ac:dyDescent="0.2">
      <c r="A157" s="95"/>
    </row>
    <row r="158" spans="1:1" s="101" customFormat="1" x14ac:dyDescent="0.2">
      <c r="A158" s="95"/>
    </row>
    <row r="159" spans="1:1" s="101" customFormat="1" x14ac:dyDescent="0.2">
      <c r="A159" s="95"/>
    </row>
    <row r="160" spans="1:1" s="101" customFormat="1" x14ac:dyDescent="0.2">
      <c r="A160" s="95"/>
    </row>
    <row r="161" spans="1:1" s="101" customFormat="1" x14ac:dyDescent="0.2">
      <c r="A161" s="95"/>
    </row>
    <row r="162" spans="1:1" s="101" customFormat="1" x14ac:dyDescent="0.2">
      <c r="A162" s="95"/>
    </row>
    <row r="163" spans="1:1" s="101" customFormat="1" x14ac:dyDescent="0.2">
      <c r="A163" s="95"/>
    </row>
    <row r="164" spans="1:1" s="101" customFormat="1" x14ac:dyDescent="0.2">
      <c r="A164" s="95"/>
    </row>
    <row r="165" spans="1:1" s="101" customFormat="1" x14ac:dyDescent="0.2">
      <c r="A165" s="95"/>
    </row>
    <row r="166" spans="1:1" s="101" customFormat="1" x14ac:dyDescent="0.2">
      <c r="A166" s="95"/>
    </row>
    <row r="167" spans="1:1" s="101" customFormat="1" x14ac:dyDescent="0.2">
      <c r="A167" s="95"/>
    </row>
    <row r="168" spans="1:1" s="101" customFormat="1" x14ac:dyDescent="0.2">
      <c r="A168" s="95"/>
    </row>
    <row r="169" spans="1:1" s="101" customFormat="1" x14ac:dyDescent="0.2">
      <c r="A169" s="95"/>
    </row>
    <row r="170" spans="1:1" s="101" customFormat="1" x14ac:dyDescent="0.2">
      <c r="A170" s="95"/>
    </row>
    <row r="171" spans="1:1" s="101" customFormat="1" x14ac:dyDescent="0.2">
      <c r="A171" s="95"/>
    </row>
    <row r="172" spans="1:1" s="101" customFormat="1" x14ac:dyDescent="0.2">
      <c r="A172" s="95"/>
    </row>
    <row r="173" spans="1:1" s="101" customFormat="1" x14ac:dyDescent="0.2">
      <c r="A173" s="95"/>
    </row>
    <row r="174" spans="1:1" s="101" customFormat="1" x14ac:dyDescent="0.2">
      <c r="A174" s="95"/>
    </row>
    <row r="175" spans="1:1" s="101" customFormat="1" x14ac:dyDescent="0.2">
      <c r="A175" s="95"/>
    </row>
    <row r="176" spans="1:1" s="101" customFormat="1" x14ac:dyDescent="0.2">
      <c r="A176" s="95"/>
    </row>
    <row r="177" spans="1:1" s="101" customFormat="1" x14ac:dyDescent="0.2">
      <c r="A177" s="95"/>
    </row>
    <row r="178" spans="1:1" s="101" customFormat="1" x14ac:dyDescent="0.2">
      <c r="A178" s="95"/>
    </row>
    <row r="179" spans="1:1" s="101" customFormat="1" x14ac:dyDescent="0.2">
      <c r="A179" s="95"/>
    </row>
    <row r="180" spans="1:1" s="101" customFormat="1" x14ac:dyDescent="0.2">
      <c r="A180" s="95"/>
    </row>
    <row r="181" spans="1:1" s="101" customFormat="1" x14ac:dyDescent="0.2">
      <c r="A181" s="95"/>
    </row>
    <row r="182" spans="1:1" s="101" customFormat="1" x14ac:dyDescent="0.2">
      <c r="A182" s="95"/>
    </row>
    <row r="183" spans="1:1" s="101" customFormat="1" x14ac:dyDescent="0.2">
      <c r="A183" s="95"/>
    </row>
    <row r="184" spans="1:1" s="101" customFormat="1" x14ac:dyDescent="0.2">
      <c r="A184" s="95"/>
    </row>
    <row r="185" spans="1:1" s="101" customFormat="1" x14ac:dyDescent="0.2">
      <c r="A185" s="95"/>
    </row>
    <row r="186" spans="1:1" s="101" customFormat="1" x14ac:dyDescent="0.2">
      <c r="A186" s="95"/>
    </row>
    <row r="187" spans="1:1" s="101" customFormat="1" x14ac:dyDescent="0.2">
      <c r="A187" s="95"/>
    </row>
    <row r="188" spans="1:1" s="101" customFormat="1" x14ac:dyDescent="0.2">
      <c r="A188" s="95"/>
    </row>
    <row r="189" spans="1:1" s="101" customFormat="1" x14ac:dyDescent="0.2">
      <c r="A189" s="95"/>
    </row>
    <row r="190" spans="1:1" s="101" customFormat="1" x14ac:dyDescent="0.2">
      <c r="A190" s="95"/>
    </row>
    <row r="191" spans="1:1" s="101" customFormat="1" x14ac:dyDescent="0.2">
      <c r="A191" s="95"/>
    </row>
    <row r="192" spans="1:1" s="101" customFormat="1" x14ac:dyDescent="0.2">
      <c r="A192" s="95"/>
    </row>
    <row r="193" spans="1:1" s="101" customFormat="1" x14ac:dyDescent="0.2">
      <c r="A193" s="95"/>
    </row>
    <row r="194" spans="1:1" s="101" customFormat="1" x14ac:dyDescent="0.2">
      <c r="A194" s="95"/>
    </row>
    <row r="195" spans="1:1" s="101" customFormat="1" x14ac:dyDescent="0.2">
      <c r="A195" s="95"/>
    </row>
    <row r="196" spans="1:1" s="101" customFormat="1" x14ac:dyDescent="0.2">
      <c r="A196" s="95"/>
    </row>
    <row r="197" spans="1:1" s="101" customFormat="1" x14ac:dyDescent="0.2">
      <c r="A197" s="95"/>
    </row>
    <row r="198" spans="1:1" s="101" customFormat="1" x14ac:dyDescent="0.2">
      <c r="A198" s="95"/>
    </row>
    <row r="199" spans="1:1" s="101" customFormat="1" x14ac:dyDescent="0.2">
      <c r="A199" s="95"/>
    </row>
    <row r="200" spans="1:1" s="101" customFormat="1" x14ac:dyDescent="0.2">
      <c r="A200" s="95"/>
    </row>
    <row r="201" spans="1:1" s="101" customFormat="1" x14ac:dyDescent="0.2">
      <c r="A201" s="95"/>
    </row>
    <row r="202" spans="1:1" s="101" customFormat="1" x14ac:dyDescent="0.2">
      <c r="A202" s="95"/>
    </row>
    <row r="203" spans="1:1" s="101" customFormat="1" x14ac:dyDescent="0.2">
      <c r="A203" s="95"/>
    </row>
    <row r="204" spans="1:1" s="101" customFormat="1" x14ac:dyDescent="0.2">
      <c r="A204" s="95"/>
    </row>
    <row r="205" spans="1:1" s="101" customFormat="1" x14ac:dyDescent="0.2">
      <c r="A205" s="95"/>
    </row>
    <row r="206" spans="1:1" s="101" customFormat="1" x14ac:dyDescent="0.2">
      <c r="A206" s="95"/>
    </row>
    <row r="207" spans="1:1" s="101" customFormat="1" x14ac:dyDescent="0.2">
      <c r="A207" s="95"/>
    </row>
    <row r="208" spans="1:1" s="101" customFormat="1" x14ac:dyDescent="0.2">
      <c r="A208" s="95"/>
    </row>
    <row r="209" spans="1:1" s="101" customFormat="1" x14ac:dyDescent="0.2">
      <c r="A209" s="95"/>
    </row>
    <row r="210" spans="1:1" s="101" customFormat="1" x14ac:dyDescent="0.2">
      <c r="A210" s="95"/>
    </row>
    <row r="211" spans="1:1" s="101" customFormat="1" x14ac:dyDescent="0.2">
      <c r="A211" s="95"/>
    </row>
    <row r="212" spans="1:1" s="101" customFormat="1" x14ac:dyDescent="0.2">
      <c r="A212" s="95"/>
    </row>
    <row r="213" spans="1:1" s="101" customFormat="1" x14ac:dyDescent="0.2">
      <c r="A213" s="95"/>
    </row>
    <row r="214" spans="1:1" s="101" customFormat="1" x14ac:dyDescent="0.2">
      <c r="A214" s="95"/>
    </row>
    <row r="215" spans="1:1" s="101" customFormat="1" x14ac:dyDescent="0.2">
      <c r="A215" s="95"/>
    </row>
    <row r="216" spans="1:1" s="101" customFormat="1" x14ac:dyDescent="0.2">
      <c r="A216" s="95"/>
    </row>
    <row r="217" spans="1:1" s="101" customFormat="1" x14ac:dyDescent="0.2">
      <c r="A217" s="95"/>
    </row>
    <row r="218" spans="1:1" s="101" customFormat="1" x14ac:dyDescent="0.2">
      <c r="A218" s="95"/>
    </row>
  </sheetData>
  <sheetProtection sheet="1" objects="1" scenarios="1"/>
  <mergeCells count="218">
    <mergeCell ref="D19:E19"/>
    <mergeCell ref="N19:O19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H14:I14"/>
    <mergeCell ref="F14:G14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L19:M19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L21:M21"/>
    <mergeCell ref="L23:M23"/>
    <mergeCell ref="D24:E24"/>
    <mergeCell ref="D23:E23"/>
    <mergeCell ref="D22:E22"/>
    <mergeCell ref="D21:E21"/>
    <mergeCell ref="D20:E20"/>
    <mergeCell ref="B23:C23"/>
    <mergeCell ref="B24:C24"/>
    <mergeCell ref="H20:I20"/>
    <mergeCell ref="H21:I21"/>
    <mergeCell ref="H22:I22"/>
    <mergeCell ref="H23:I23"/>
    <mergeCell ref="H24:I24"/>
    <mergeCell ref="B21:C21"/>
    <mergeCell ref="B22:C22"/>
    <mergeCell ref="R41:S41"/>
    <mergeCell ref="R42:S42"/>
    <mergeCell ref="T41:U41"/>
    <mergeCell ref="T42:U42"/>
    <mergeCell ref="L42:M42"/>
    <mergeCell ref="N41:O41"/>
    <mergeCell ref="N42:O42"/>
    <mergeCell ref="P41:Q41"/>
    <mergeCell ref="P42:Q42"/>
    <mergeCell ref="L41:M41"/>
    <mergeCell ref="T38:U38"/>
    <mergeCell ref="R38:S38"/>
    <mergeCell ref="R39:S39"/>
    <mergeCell ref="P38:Q38"/>
    <mergeCell ref="P39:Q39"/>
    <mergeCell ref="J38:K38"/>
    <mergeCell ref="J39:K39"/>
    <mergeCell ref="F31:G31"/>
    <mergeCell ref="B38:C38"/>
    <mergeCell ref="B39:C39"/>
    <mergeCell ref="L31:M31"/>
    <mergeCell ref="L32:M32"/>
    <mergeCell ref="J35:K35"/>
    <mergeCell ref="T39:U39"/>
    <mergeCell ref="H38:I38"/>
    <mergeCell ref="H39:I39"/>
    <mergeCell ref="F38:G38"/>
    <mergeCell ref="F39:G39"/>
    <mergeCell ref="D38:E38"/>
    <mergeCell ref="J36:K36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5:Q35"/>
    <mergeCell ref="R35:S35"/>
    <mergeCell ref="T35:U35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N38:O38"/>
    <mergeCell ref="N39:O39"/>
    <mergeCell ref="L38:M38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5:O35"/>
    <mergeCell ref="J27:K27"/>
    <mergeCell ref="J29:K29"/>
    <mergeCell ref="L39:M39"/>
    <mergeCell ref="L27:M27"/>
    <mergeCell ref="L28:M28"/>
    <mergeCell ref="L35:M35"/>
    <mergeCell ref="C49:D49"/>
    <mergeCell ref="D36:E36"/>
    <mergeCell ref="D35:E35"/>
    <mergeCell ref="D31:E31"/>
    <mergeCell ref="D32:E32"/>
    <mergeCell ref="B28:C28"/>
    <mergeCell ref="D39:E39"/>
    <mergeCell ref="B41:C41"/>
    <mergeCell ref="B27:C27"/>
    <mergeCell ref="A46:E46"/>
    <mergeCell ref="D29:E29"/>
    <mergeCell ref="D27:E27"/>
    <mergeCell ref="D30:E30"/>
    <mergeCell ref="B42:C42"/>
    <mergeCell ref="D41:E41"/>
    <mergeCell ref="D42:E42"/>
    <mergeCell ref="B31:C31"/>
    <mergeCell ref="B32:C32"/>
    <mergeCell ref="B35:C35"/>
    <mergeCell ref="B36:C36"/>
    <mergeCell ref="A48:T48"/>
    <mergeCell ref="F42:G42"/>
    <mergeCell ref="H41:I41"/>
    <mergeCell ref="H42:I42"/>
    <mergeCell ref="J42:K42"/>
    <mergeCell ref="H35:I35"/>
    <mergeCell ref="J41:K41"/>
    <mergeCell ref="H36:I36"/>
    <mergeCell ref="F27:G27"/>
    <mergeCell ref="F29:G29"/>
    <mergeCell ref="H27:I27"/>
    <mergeCell ref="F21:G21"/>
    <mergeCell ref="F22:G22"/>
    <mergeCell ref="F23:G23"/>
    <mergeCell ref="F24:G24"/>
    <mergeCell ref="F35:G35"/>
    <mergeCell ref="F36:G36"/>
    <mergeCell ref="F32:G32"/>
    <mergeCell ref="F41:G41"/>
  </mergeCells>
  <phoneticPr fontId="2" type="noConversion"/>
  <conditionalFormatting sqref="B42 B32 D32 D42 F42 H42 J42 L42 N42 P42 R42 T42 L32 J32 H32 F32 P32 R32 T32 N32">
    <cfRule type="cellIs" dxfId="4" priority="1" stopIfTrue="1" operator="lessThan">
      <formula>0</formula>
    </cfRule>
  </conditionalFormatting>
  <printOptions horizontalCentered="1" verticalCentered="1"/>
  <pageMargins left="0.5" right="0.5" top="0.5" bottom="0.5" header="0" footer="0"/>
  <pageSetup scale="88" orientation="landscape" r:id="rId1"/>
  <headerFooter>
    <oddFooter>&amp;L&amp;G</oddFooter>
  </headerFooter>
  <ignoredErrors>
    <ignoredError sqref="D9 N9 H30:H32 N44:N45 H28 D44:D45 F44:F45 H44:H45 J44:J45 L44:L45" formula="1"/>
    <ignoredError sqref="D33 N33" formula="1" unlockedFormula="1"/>
    <ignoredError sqref="D37 B37 N28 T36:T37 F19 D13 T22 F13 L22 D34 L8 J19 D28 N31:N32 D31:D32 F37 N34 T13 T19 J13 P36:P37 T8 F8 H13 H37 H19 H8 J37 J8 L36:L37 N13 N36:N37 P8 P19 P13 P22 R8 R19 R13 R22 R36:R37 R17 P17 H17 T17 J17 F17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61" zoomScaleNormal="100" workbookViewId="0">
      <selection activeCell="A62" sqref="A62"/>
    </sheetView>
  </sheetViews>
  <sheetFormatPr defaultRowHeight="12.75" x14ac:dyDescent="0.2"/>
  <cols>
    <col min="1" max="1" width="11.7109375" bestFit="1" customWidth="1"/>
    <col min="2" max="4" width="7.7109375" style="3" bestFit="1" customWidth="1"/>
    <col min="5" max="5" width="8.7109375" style="3" bestFit="1" customWidth="1"/>
    <col min="6" max="6" width="2.42578125" style="2" customWidth="1"/>
    <col min="7" max="9" width="7.7109375" bestFit="1" customWidth="1"/>
    <col min="10" max="10" width="8.28515625" bestFit="1" customWidth="1"/>
    <col min="11" max="11" width="1.7109375" style="2" customWidth="1"/>
    <col min="12" max="14" width="7.7109375" bestFit="1" customWidth="1"/>
    <col min="15" max="15" width="8.28515625" bestFit="1" customWidth="1"/>
    <col min="16" max="16" width="1.85546875" style="2" customWidth="1"/>
    <col min="17" max="19" width="7.7109375" bestFit="1" customWidth="1"/>
    <col min="20" max="20" width="8.28515625" bestFit="1" customWidth="1"/>
  </cols>
  <sheetData>
    <row r="1" spans="1:20" x14ac:dyDescent="0.2">
      <c r="A1" s="405" t="s">
        <v>85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</row>
    <row r="2" spans="1:20" x14ac:dyDescent="0.2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2">
      <c r="A3" s="1" t="s">
        <v>70</v>
      </c>
      <c r="B3" s="4">
        <f>Conventional!$B$30</f>
        <v>523.71496826316286</v>
      </c>
      <c r="C3" s="4">
        <f>Conventional!$D$30</f>
        <v>652.85797500000001</v>
      </c>
      <c r="D3" s="4">
        <f>Conventional!$F$30</f>
        <v>662.43695000000002</v>
      </c>
      <c r="E3" s="4">
        <f>Conventional!$H$30</f>
        <v>293.86257145000002</v>
      </c>
    </row>
    <row r="4" spans="1:20" x14ac:dyDescent="0.2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2">
      <c r="B5" s="406" t="s">
        <v>74</v>
      </c>
      <c r="C5" s="406"/>
      <c r="D5" s="406"/>
      <c r="E5" s="406"/>
      <c r="F5" s="29"/>
      <c r="G5" s="407" t="s">
        <v>75</v>
      </c>
      <c r="H5" s="407"/>
      <c r="I5" s="407"/>
      <c r="J5" s="407"/>
      <c r="K5" s="29"/>
      <c r="L5" s="408" t="s">
        <v>76</v>
      </c>
      <c r="M5" s="408"/>
      <c r="N5" s="408"/>
      <c r="O5" s="408"/>
      <c r="P5" s="29"/>
      <c r="Q5" s="409" t="s">
        <v>77</v>
      </c>
      <c r="R5" s="409"/>
      <c r="S5" s="409"/>
      <c r="T5" s="409"/>
    </row>
    <row r="6" spans="1:20" s="8" customFormat="1" ht="25.5" x14ac:dyDescent="0.2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2">
      <c r="B7" s="18">
        <f t="shared" ref="B7:B12" si="0">B8-0.025</f>
        <v>0.5249999999999998</v>
      </c>
      <c r="C7" s="19">
        <f t="shared" ref="C7:C21" si="1">(((B7*$B$4)-$B$3+$C$3)/$C$4)*2000</f>
        <v>323.03957733482423</v>
      </c>
      <c r="D7" s="18">
        <f t="shared" ref="D7:D21" si="2">(((B7*$B$4)-$B$3+$D$3)/$D$4)</f>
        <v>3.8436099086841846</v>
      </c>
      <c r="E7" s="18">
        <f>(((B7*$B$4)-$B$3+$E$3)/$E$4)</f>
        <v>6.6691267197806159</v>
      </c>
      <c r="G7" s="20">
        <f>(((H7*$C$4/2000)-$C$3+$B$3)/$B$4)</f>
        <v>0.53863082771930237</v>
      </c>
      <c r="H7" s="21">
        <f t="shared" ref="H7:H12" si="3">H8-10</f>
        <v>330</v>
      </c>
      <c r="I7" s="20">
        <f>(((H7*$C$4/2000)-$C$3+$D$3)/$D$4)</f>
        <v>3.9253948750000003</v>
      </c>
      <c r="J7" s="20">
        <f>(((H7*$C$4/2000)-$C$3+$E$3)/$E$4)</f>
        <v>6.9417432741666669</v>
      </c>
      <c r="L7" s="13">
        <f>(((N7*$D$4)-$D$3+$B$3)/$B$4)</f>
        <v>0.41773168188596904</v>
      </c>
      <c r="M7" s="14">
        <f>(((N7*$D$4)-$D$3+$C$3)/$C$4)*2000</f>
        <v>268.26426595744681</v>
      </c>
      <c r="N7" s="13">
        <f t="shared" ref="N7:N12" si="4">N8-0.15</f>
        <v>3.2</v>
      </c>
      <c r="O7" s="13">
        <f>(((N7*$D$4)-$D$3+$E$3)/$E$4)</f>
        <v>4.5237603574999996</v>
      </c>
      <c r="Q7" s="9">
        <f>(((T7*$E$4)-$E$3+$B$3)/$B$4)</f>
        <v>0.55654366401096922</v>
      </c>
      <c r="R7" s="10">
        <f>(((T7*$E$4)-$E$3+$C$3)/$C$4)*2000</f>
        <v>339.14698023404264</v>
      </c>
      <c r="S7" s="9">
        <f>(((T7*$E$4)-$E$3+$D$3)/$D$4)</f>
        <v>4.0328718927500002</v>
      </c>
      <c r="T7" s="9">
        <f t="shared" ref="T7:T12" si="5">T8-0.35</f>
        <v>7.3000000000000025</v>
      </c>
    </row>
    <row r="8" spans="1:20" x14ac:dyDescent="0.2">
      <c r="B8" s="18">
        <f t="shared" si="0"/>
        <v>0.54999999999999982</v>
      </c>
      <c r="C8" s="19">
        <f t="shared" si="1"/>
        <v>335.80553478163273</v>
      </c>
      <c r="D8" s="18">
        <f t="shared" si="2"/>
        <v>3.9936099086841845</v>
      </c>
      <c r="E8" s="18">
        <f>(((B8*$B$4)-$B$3+$E$3)/$E$4)</f>
        <v>7.1691267197806159</v>
      </c>
      <c r="G8" s="20">
        <f t="shared" ref="G8:G21" si="6">(((H8*$C$4/2000)-$C$3+$B$3)/$B$4)</f>
        <v>0.55821416105263566</v>
      </c>
      <c r="H8" s="21">
        <f t="shared" si="3"/>
        <v>340</v>
      </c>
      <c r="I8" s="20">
        <f t="shared" ref="I8:I21" si="7">(((H8*$C$4/2000)-$C$3+$D$3)/$D$4)</f>
        <v>4.042894875</v>
      </c>
      <c r="J8" s="20">
        <f t="shared" ref="J8:J21" si="8">(((H8*$C$4/2000)-$C$3+$E$3)/$E$4)</f>
        <v>7.3334099408333335</v>
      </c>
      <c r="L8" s="13">
        <f t="shared" ref="L8:L21" si="9">(((N8*$D$4)-$D$3+$B$3)/$B$4)</f>
        <v>0.44273168188596901</v>
      </c>
      <c r="M8" s="14">
        <f t="shared" ref="M8:M21" si="10">(((N8*$D$4)-$D$3+$C$3)/$C$4)*2000</f>
        <v>281.03022340425531</v>
      </c>
      <c r="N8" s="13">
        <f t="shared" si="4"/>
        <v>3.35</v>
      </c>
      <c r="O8" s="13">
        <f t="shared" ref="O8:O21" si="11">(((N8*$D$4)-$D$3+$E$3)/$E$4)</f>
        <v>5.0237603574999996</v>
      </c>
      <c r="Q8" s="9">
        <f t="shared" ref="Q8:Q21" si="12">(((T8*$E$4)-$E$3+$B$3)/$B$4)</f>
        <v>0.57404366401096918</v>
      </c>
      <c r="R8" s="10">
        <f t="shared" ref="R8:R21" si="13">(((T8*$E$4)-$E$3+$C$3)/$C$4)*2000</f>
        <v>348.08315044680853</v>
      </c>
      <c r="S8" s="9">
        <f t="shared" ref="S8:S21" si="14">(((T8*$E$4)-$E$3+$D$3)/$D$4)</f>
        <v>4.1378718927500007</v>
      </c>
      <c r="T8" s="9">
        <f t="shared" si="5"/>
        <v>7.6500000000000021</v>
      </c>
    </row>
    <row r="9" spans="1:20" x14ac:dyDescent="0.2">
      <c r="B9" s="18">
        <f t="shared" si="0"/>
        <v>0.57499999999999984</v>
      </c>
      <c r="C9" s="19">
        <f t="shared" si="1"/>
        <v>348.57149222844123</v>
      </c>
      <c r="D9" s="18">
        <f t="shared" si="2"/>
        <v>4.1436099086841844</v>
      </c>
      <c r="E9" s="18">
        <f t="shared" ref="E9:E21" si="15">(((B9*$B$4)-$B$3+$E$3)/$E$4)</f>
        <v>7.6691267197806159</v>
      </c>
      <c r="G9" s="20">
        <f t="shared" si="6"/>
        <v>0.57779749438596906</v>
      </c>
      <c r="H9" s="21">
        <f t="shared" si="3"/>
        <v>350</v>
      </c>
      <c r="I9" s="20">
        <f t="shared" si="7"/>
        <v>4.1603948749999997</v>
      </c>
      <c r="J9" s="20">
        <f t="shared" si="8"/>
        <v>7.7250766075000001</v>
      </c>
      <c r="L9" s="13">
        <f t="shared" si="9"/>
        <v>0.46773168188596903</v>
      </c>
      <c r="M9" s="14">
        <f t="shared" si="10"/>
        <v>293.79618085106387</v>
      </c>
      <c r="N9" s="13">
        <f t="shared" si="4"/>
        <v>3.5</v>
      </c>
      <c r="O9" s="13">
        <f t="shared" si="11"/>
        <v>5.5237603574999996</v>
      </c>
      <c r="Q9" s="9">
        <f t="shared" si="12"/>
        <v>0.59154366401096914</v>
      </c>
      <c r="R9" s="10">
        <f t="shared" si="13"/>
        <v>357.01932065957453</v>
      </c>
      <c r="S9" s="9">
        <f t="shared" si="14"/>
        <v>4.2428718927500002</v>
      </c>
      <c r="T9" s="9">
        <f t="shared" si="5"/>
        <v>8.0000000000000018</v>
      </c>
    </row>
    <row r="10" spans="1:20" x14ac:dyDescent="0.2">
      <c r="B10" s="18">
        <f t="shared" si="0"/>
        <v>0.59999999999999987</v>
      </c>
      <c r="C10" s="19">
        <f t="shared" si="1"/>
        <v>361.33744967524979</v>
      </c>
      <c r="D10" s="18">
        <f t="shared" si="2"/>
        <v>4.2936099086841857</v>
      </c>
      <c r="E10" s="18">
        <f t="shared" si="15"/>
        <v>8.1691267197806177</v>
      </c>
      <c r="G10" s="20">
        <f t="shared" si="6"/>
        <v>0.59738082771930234</v>
      </c>
      <c r="H10" s="21">
        <f t="shared" si="3"/>
        <v>360</v>
      </c>
      <c r="I10" s="20">
        <f t="shared" si="7"/>
        <v>4.2778948750000003</v>
      </c>
      <c r="J10" s="20">
        <f t="shared" si="8"/>
        <v>8.1167432741666676</v>
      </c>
      <c r="L10" s="13">
        <f t="shared" si="9"/>
        <v>0.49273168188596905</v>
      </c>
      <c r="M10" s="14">
        <f t="shared" si="10"/>
        <v>306.56213829787231</v>
      </c>
      <c r="N10" s="13">
        <f t="shared" si="4"/>
        <v>3.65</v>
      </c>
      <c r="O10" s="13">
        <f t="shared" si="11"/>
        <v>6.0237603574999996</v>
      </c>
      <c r="Q10" s="9">
        <f t="shared" si="12"/>
        <v>0.6090436640109691</v>
      </c>
      <c r="R10" s="10">
        <f t="shared" si="13"/>
        <v>365.95549087234048</v>
      </c>
      <c r="S10" s="9">
        <f t="shared" si="14"/>
        <v>4.3478718927500006</v>
      </c>
      <c r="T10" s="9">
        <f t="shared" si="5"/>
        <v>8.3500000000000014</v>
      </c>
    </row>
    <row r="11" spans="1:20" x14ac:dyDescent="0.2">
      <c r="B11" s="18">
        <f t="shared" si="0"/>
        <v>0.62499999999999989</v>
      </c>
      <c r="C11" s="19">
        <f t="shared" si="1"/>
        <v>374.10340712205829</v>
      </c>
      <c r="D11" s="18">
        <f t="shared" si="2"/>
        <v>4.4436099086841852</v>
      </c>
      <c r="E11" s="18">
        <f t="shared" si="15"/>
        <v>8.6691267197806177</v>
      </c>
      <c r="G11" s="20">
        <f t="shared" si="6"/>
        <v>0.61696416105263574</v>
      </c>
      <c r="H11" s="21">
        <f t="shared" si="3"/>
        <v>370</v>
      </c>
      <c r="I11" s="20">
        <f t="shared" si="7"/>
        <v>4.395394875</v>
      </c>
      <c r="J11" s="20">
        <f t="shared" si="8"/>
        <v>8.5084099408333334</v>
      </c>
      <c r="L11" s="13">
        <f t="shared" si="9"/>
        <v>0.51773168188596908</v>
      </c>
      <c r="M11" s="14">
        <f t="shared" si="10"/>
        <v>319.32809574468087</v>
      </c>
      <c r="N11" s="13">
        <f t="shared" si="4"/>
        <v>3.8</v>
      </c>
      <c r="O11" s="13">
        <f t="shared" si="11"/>
        <v>6.5237603574999996</v>
      </c>
      <c r="Q11" s="9">
        <f t="shared" si="12"/>
        <v>0.62654366401096917</v>
      </c>
      <c r="R11" s="10">
        <f t="shared" si="13"/>
        <v>374.89166108510642</v>
      </c>
      <c r="S11" s="9">
        <f t="shared" si="14"/>
        <v>4.4528718927500002</v>
      </c>
      <c r="T11" s="9">
        <f t="shared" si="5"/>
        <v>8.7000000000000011</v>
      </c>
    </row>
    <row r="12" spans="1:20" x14ac:dyDescent="0.2">
      <c r="B12" s="18">
        <f t="shared" si="0"/>
        <v>0.64999999999999991</v>
      </c>
      <c r="C12" s="19">
        <f t="shared" si="1"/>
        <v>386.86936456886684</v>
      </c>
      <c r="D12" s="18">
        <f t="shared" si="2"/>
        <v>4.5936099086841855</v>
      </c>
      <c r="E12" s="18">
        <f t="shared" si="15"/>
        <v>9.1691267197806177</v>
      </c>
      <c r="G12" s="20">
        <f t="shared" si="6"/>
        <v>0.63654749438596903</v>
      </c>
      <c r="H12" s="21">
        <f t="shared" si="3"/>
        <v>380</v>
      </c>
      <c r="I12" s="20">
        <f t="shared" si="7"/>
        <v>4.5128948749999998</v>
      </c>
      <c r="J12" s="20">
        <f t="shared" si="8"/>
        <v>8.9000766075000008</v>
      </c>
      <c r="L12" s="13">
        <f t="shared" si="9"/>
        <v>0.54273168188596899</v>
      </c>
      <c r="M12" s="14">
        <f t="shared" si="10"/>
        <v>332.09405319148937</v>
      </c>
      <c r="N12" s="13">
        <f t="shared" si="4"/>
        <v>3.9499999999999997</v>
      </c>
      <c r="O12" s="13">
        <f t="shared" si="11"/>
        <v>7.0237603574999996</v>
      </c>
      <c r="Q12" s="9">
        <f t="shared" si="12"/>
        <v>0.64404366401096902</v>
      </c>
      <c r="R12" s="10">
        <f t="shared" si="13"/>
        <v>383.82783129787236</v>
      </c>
      <c r="S12" s="9">
        <f t="shared" si="14"/>
        <v>4.5578718927499997</v>
      </c>
      <c r="T12" s="9">
        <f t="shared" si="5"/>
        <v>9.0500000000000007</v>
      </c>
    </row>
    <row r="13" spans="1:20" ht="13.5" thickBot="1" x14ac:dyDescent="0.25">
      <c r="B13" s="18">
        <f>B14-0.025</f>
        <v>0.67499999999999993</v>
      </c>
      <c r="C13" s="19">
        <f t="shared" si="1"/>
        <v>399.63532201567529</v>
      </c>
      <c r="D13" s="18">
        <f t="shared" si="2"/>
        <v>4.743609908684185</v>
      </c>
      <c r="E13" s="18">
        <f t="shared" si="15"/>
        <v>9.6691267197806177</v>
      </c>
      <c r="G13" s="20">
        <f t="shared" si="6"/>
        <v>0.65613082771930242</v>
      </c>
      <c r="H13" s="21">
        <f>H14-10</f>
        <v>390</v>
      </c>
      <c r="I13" s="20">
        <f t="shared" si="7"/>
        <v>4.6303948750000004</v>
      </c>
      <c r="J13" s="20">
        <f t="shared" si="8"/>
        <v>9.2917432741666666</v>
      </c>
      <c r="L13" s="13">
        <f t="shared" si="9"/>
        <v>0.5677316818859689</v>
      </c>
      <c r="M13" s="14">
        <f t="shared" si="10"/>
        <v>344.86001063829781</v>
      </c>
      <c r="N13" s="13">
        <f>N14-0.15</f>
        <v>4.0999999999999996</v>
      </c>
      <c r="O13" s="13">
        <f t="shared" si="11"/>
        <v>7.5237603574999978</v>
      </c>
      <c r="Q13" s="9">
        <f t="shared" si="12"/>
        <v>0.66154366401096898</v>
      </c>
      <c r="R13" s="10">
        <f t="shared" si="13"/>
        <v>392.76400151063831</v>
      </c>
      <c r="S13" s="9">
        <f t="shared" si="14"/>
        <v>4.6628718927500001</v>
      </c>
      <c r="T13" s="9">
        <f>T14-0.35</f>
        <v>9.4</v>
      </c>
    </row>
    <row r="14" spans="1:20" ht="13.5" thickBot="1" x14ac:dyDescent="0.25">
      <c r="B14" s="24">
        <f>Conventional!$B$8</f>
        <v>0.7</v>
      </c>
      <c r="C14" s="19">
        <f t="shared" si="1"/>
        <v>412.4012794624839</v>
      </c>
      <c r="D14" s="18">
        <f t="shared" si="2"/>
        <v>4.8936099086841862</v>
      </c>
      <c r="E14" s="18">
        <f t="shared" si="15"/>
        <v>10.169126719780619</v>
      </c>
      <c r="G14" s="20">
        <f t="shared" si="6"/>
        <v>0.67571416105263571</v>
      </c>
      <c r="H14" s="22">
        <f>Conventional!$D$8</f>
        <v>400</v>
      </c>
      <c r="I14" s="20">
        <f t="shared" si="7"/>
        <v>4.7478948750000001</v>
      </c>
      <c r="J14" s="20">
        <f t="shared" si="8"/>
        <v>9.6834099408333341</v>
      </c>
      <c r="L14" s="13">
        <f t="shared" si="9"/>
        <v>0.59273168188596903</v>
      </c>
      <c r="M14" s="14">
        <f t="shared" si="10"/>
        <v>357.62596808510636</v>
      </c>
      <c r="N14" s="15">
        <f>Conventional!$F$8</f>
        <v>4.25</v>
      </c>
      <c r="O14" s="13">
        <f t="shared" si="11"/>
        <v>8.0237603575000005</v>
      </c>
      <c r="Q14" s="9">
        <f t="shared" si="12"/>
        <v>0.67904366401096905</v>
      </c>
      <c r="R14" s="10">
        <f t="shared" si="13"/>
        <v>401.70017172340425</v>
      </c>
      <c r="S14" s="9">
        <f t="shared" si="14"/>
        <v>4.7678718927499997</v>
      </c>
      <c r="T14" s="11">
        <f>Conventional!$H$8</f>
        <v>9.75</v>
      </c>
    </row>
    <row r="15" spans="1:20" x14ac:dyDescent="0.2">
      <c r="B15" s="18">
        <f>B14+0.025</f>
        <v>0.72499999999999998</v>
      </c>
      <c r="C15" s="19">
        <f t="shared" si="1"/>
        <v>425.1672369092924</v>
      </c>
      <c r="D15" s="18">
        <f t="shared" si="2"/>
        <v>5.0436099086841857</v>
      </c>
      <c r="E15" s="18">
        <f t="shared" si="15"/>
        <v>10.669126719780619</v>
      </c>
      <c r="G15" s="20">
        <f t="shared" si="6"/>
        <v>0.69529749438596899</v>
      </c>
      <c r="H15" s="21">
        <f>H14+10</f>
        <v>410</v>
      </c>
      <c r="I15" s="20">
        <f t="shared" si="7"/>
        <v>4.8653948749999998</v>
      </c>
      <c r="J15" s="20">
        <f t="shared" si="8"/>
        <v>10.0750766075</v>
      </c>
      <c r="L15" s="13">
        <f t="shared" si="9"/>
        <v>0.61773168188596916</v>
      </c>
      <c r="M15" s="14">
        <f t="shared" si="10"/>
        <v>370.39192553191492</v>
      </c>
      <c r="N15" s="13">
        <f>N14+0.15</f>
        <v>4.4000000000000004</v>
      </c>
      <c r="O15" s="13">
        <f t="shared" si="11"/>
        <v>8.5237603575000023</v>
      </c>
      <c r="Q15" s="9">
        <f t="shared" si="12"/>
        <v>0.69654366401096901</v>
      </c>
      <c r="R15" s="10">
        <f t="shared" si="13"/>
        <v>410.6363419361702</v>
      </c>
      <c r="S15" s="9">
        <f t="shared" si="14"/>
        <v>4.8728718927500001</v>
      </c>
      <c r="T15" s="9">
        <f>T14+0.35</f>
        <v>10.1</v>
      </c>
    </row>
    <row r="16" spans="1:20" x14ac:dyDescent="0.2">
      <c r="B16" s="18">
        <f t="shared" ref="B16:B21" si="16">B15+0.025</f>
        <v>0.75</v>
      </c>
      <c r="C16" s="19">
        <f t="shared" si="1"/>
        <v>437.9331943561009</v>
      </c>
      <c r="D16" s="18">
        <f t="shared" si="2"/>
        <v>5.193609908684186</v>
      </c>
      <c r="E16" s="18">
        <f t="shared" si="15"/>
        <v>11.169126719780619</v>
      </c>
      <c r="G16" s="20">
        <f t="shared" si="6"/>
        <v>0.71488082771930239</v>
      </c>
      <c r="H16" s="21">
        <f t="shared" ref="H16:H21" si="17">H15+10</f>
        <v>420</v>
      </c>
      <c r="I16" s="20">
        <f t="shared" si="7"/>
        <v>4.9828948750000004</v>
      </c>
      <c r="J16" s="20">
        <f t="shared" si="8"/>
        <v>10.466743274166667</v>
      </c>
      <c r="L16" s="13">
        <f t="shared" si="9"/>
        <v>0.64273168188596908</v>
      </c>
      <c r="M16" s="14">
        <f t="shared" si="10"/>
        <v>383.15788297872342</v>
      </c>
      <c r="N16" s="13">
        <f t="shared" ref="N16:N21" si="18">N15+0.15</f>
        <v>4.5500000000000007</v>
      </c>
      <c r="O16" s="13">
        <f t="shared" si="11"/>
        <v>9.0237603575000023</v>
      </c>
      <c r="Q16" s="9">
        <f t="shared" si="12"/>
        <v>0.71404366401096908</v>
      </c>
      <c r="R16" s="10">
        <f t="shared" si="13"/>
        <v>419.57251214893614</v>
      </c>
      <c r="S16" s="9">
        <f t="shared" si="14"/>
        <v>4.9778718927499996</v>
      </c>
      <c r="T16" s="9">
        <f t="shared" ref="T16:T21" si="19">T15+0.35</f>
        <v>10.45</v>
      </c>
    </row>
    <row r="17" spans="1:20" x14ac:dyDescent="0.2">
      <c r="B17" s="18">
        <f t="shared" si="16"/>
        <v>0.77500000000000002</v>
      </c>
      <c r="C17" s="19">
        <f t="shared" si="1"/>
        <v>450.6991518029094</v>
      </c>
      <c r="D17" s="18">
        <f t="shared" si="2"/>
        <v>5.3436099086841864</v>
      </c>
      <c r="E17" s="18">
        <f t="shared" si="15"/>
        <v>11.669126719780619</v>
      </c>
      <c r="G17" s="20">
        <f t="shared" si="6"/>
        <v>0.73446416105263568</v>
      </c>
      <c r="H17" s="21">
        <f t="shared" si="17"/>
        <v>430</v>
      </c>
      <c r="I17" s="20">
        <f t="shared" si="7"/>
        <v>5.1003948750000001</v>
      </c>
      <c r="J17" s="20">
        <f t="shared" si="8"/>
        <v>10.858409940833333</v>
      </c>
      <c r="L17" s="13">
        <f t="shared" si="9"/>
        <v>0.66773168188596921</v>
      </c>
      <c r="M17" s="14">
        <f t="shared" si="10"/>
        <v>395.92384042553203</v>
      </c>
      <c r="N17" s="13">
        <f t="shared" si="18"/>
        <v>4.7000000000000011</v>
      </c>
      <c r="O17" s="13">
        <f t="shared" si="11"/>
        <v>9.523760357500004</v>
      </c>
      <c r="Q17" s="9">
        <f t="shared" si="12"/>
        <v>0.73154366401096893</v>
      </c>
      <c r="R17" s="10">
        <f t="shared" si="13"/>
        <v>428.50868236170209</v>
      </c>
      <c r="S17" s="9">
        <f t="shared" si="14"/>
        <v>5.0828718927499992</v>
      </c>
      <c r="T17" s="9">
        <f t="shared" si="19"/>
        <v>10.799999999999999</v>
      </c>
    </row>
    <row r="18" spans="1:20" x14ac:dyDescent="0.2">
      <c r="B18" s="18">
        <f t="shared" si="16"/>
        <v>0.8</v>
      </c>
      <c r="C18" s="19">
        <f t="shared" si="1"/>
        <v>463.46510924971795</v>
      </c>
      <c r="D18" s="18">
        <f t="shared" si="2"/>
        <v>5.4936099086841867</v>
      </c>
      <c r="E18" s="18">
        <f t="shared" si="15"/>
        <v>12.169126719780619</v>
      </c>
      <c r="G18" s="20">
        <f t="shared" si="6"/>
        <v>0.75404749438596907</v>
      </c>
      <c r="H18" s="21">
        <f t="shared" si="17"/>
        <v>440</v>
      </c>
      <c r="I18" s="20">
        <f t="shared" si="7"/>
        <v>5.2178948749999998</v>
      </c>
      <c r="J18" s="20">
        <f t="shared" si="8"/>
        <v>11.2500766075</v>
      </c>
      <c r="L18" s="13">
        <f t="shared" si="9"/>
        <v>0.69273168188596923</v>
      </c>
      <c r="M18" s="14">
        <f t="shared" si="10"/>
        <v>408.68979787234048</v>
      </c>
      <c r="N18" s="13">
        <f t="shared" si="18"/>
        <v>4.8500000000000014</v>
      </c>
      <c r="O18" s="13">
        <f t="shared" si="11"/>
        <v>10.023760357500004</v>
      </c>
      <c r="Q18" s="9">
        <f t="shared" si="12"/>
        <v>0.74904366401096889</v>
      </c>
      <c r="R18" s="10">
        <f t="shared" si="13"/>
        <v>437.44485257446809</v>
      </c>
      <c r="S18" s="9">
        <f t="shared" si="14"/>
        <v>5.1878718927499996</v>
      </c>
      <c r="T18" s="9">
        <f t="shared" si="19"/>
        <v>11.149999999999999</v>
      </c>
    </row>
    <row r="19" spans="1:20" x14ac:dyDescent="0.2">
      <c r="B19" s="18">
        <f t="shared" si="16"/>
        <v>0.82500000000000007</v>
      </c>
      <c r="C19" s="19">
        <f t="shared" si="1"/>
        <v>476.23106669652651</v>
      </c>
      <c r="D19" s="18">
        <f t="shared" si="2"/>
        <v>5.6436099086841862</v>
      </c>
      <c r="E19" s="18">
        <f t="shared" si="15"/>
        <v>12.669126719780621</v>
      </c>
      <c r="G19" s="20">
        <f t="shared" si="6"/>
        <v>0.77363082771930236</v>
      </c>
      <c r="H19" s="21">
        <f t="shared" si="17"/>
        <v>450</v>
      </c>
      <c r="I19" s="20">
        <f t="shared" si="7"/>
        <v>5.3353948749999995</v>
      </c>
      <c r="J19" s="20">
        <f t="shared" si="8"/>
        <v>11.641743274166666</v>
      </c>
      <c r="L19" s="13">
        <f t="shared" si="9"/>
        <v>0.71773168188596936</v>
      </c>
      <c r="M19" s="14">
        <f t="shared" si="10"/>
        <v>421.45575531914909</v>
      </c>
      <c r="N19" s="13">
        <f t="shared" si="18"/>
        <v>5.0000000000000018</v>
      </c>
      <c r="O19" s="13">
        <f t="shared" si="11"/>
        <v>10.523760357500006</v>
      </c>
      <c r="Q19" s="9">
        <f t="shared" si="12"/>
        <v>0.76654366401096896</v>
      </c>
      <c r="R19" s="10">
        <f t="shared" si="13"/>
        <v>446.38102278723403</v>
      </c>
      <c r="S19" s="9">
        <f t="shared" si="14"/>
        <v>5.2928718927499991</v>
      </c>
      <c r="T19" s="9">
        <f t="shared" si="19"/>
        <v>11.499999999999998</v>
      </c>
    </row>
    <row r="20" spans="1:20" x14ac:dyDescent="0.2">
      <c r="B20" s="18">
        <f t="shared" si="16"/>
        <v>0.85000000000000009</v>
      </c>
      <c r="C20" s="19">
        <f t="shared" si="1"/>
        <v>488.99702414333507</v>
      </c>
      <c r="D20" s="18">
        <f t="shared" si="2"/>
        <v>5.7936099086841866</v>
      </c>
      <c r="E20" s="18">
        <f t="shared" si="15"/>
        <v>13.169126719780621</v>
      </c>
      <c r="G20" s="20">
        <f t="shared" si="6"/>
        <v>0.79321416105263576</v>
      </c>
      <c r="H20" s="21">
        <f t="shared" si="17"/>
        <v>460</v>
      </c>
      <c r="I20" s="20">
        <f t="shared" si="7"/>
        <v>5.4528948749999993</v>
      </c>
      <c r="J20" s="20">
        <f t="shared" si="8"/>
        <v>12.033409940833334</v>
      </c>
      <c r="L20" s="13">
        <f t="shared" si="9"/>
        <v>0.74273168188596939</v>
      </c>
      <c r="M20" s="14">
        <f t="shared" si="10"/>
        <v>434.22171276595759</v>
      </c>
      <c r="N20" s="13">
        <f t="shared" si="18"/>
        <v>5.1500000000000021</v>
      </c>
      <c r="O20" s="13">
        <f t="shared" si="11"/>
        <v>11.023760357500008</v>
      </c>
      <c r="Q20" s="9">
        <f t="shared" si="12"/>
        <v>0.78404366401096892</v>
      </c>
      <c r="R20" s="10">
        <f t="shared" si="13"/>
        <v>455.31719300000003</v>
      </c>
      <c r="S20" s="9">
        <f t="shared" si="14"/>
        <v>5.3978718927499996</v>
      </c>
      <c r="T20" s="9">
        <f t="shared" si="19"/>
        <v>11.849999999999998</v>
      </c>
    </row>
    <row r="21" spans="1:20" x14ac:dyDescent="0.2">
      <c r="B21" s="18">
        <f t="shared" si="16"/>
        <v>0.87500000000000011</v>
      </c>
      <c r="C21" s="19">
        <f t="shared" si="1"/>
        <v>501.76298159014357</v>
      </c>
      <c r="D21" s="18">
        <f t="shared" si="2"/>
        <v>5.943609908684186</v>
      </c>
      <c r="E21" s="18">
        <f t="shared" si="15"/>
        <v>13.669126719780623</v>
      </c>
      <c r="G21" s="20">
        <f t="shared" si="6"/>
        <v>0.81279749438596904</v>
      </c>
      <c r="H21" s="21">
        <f t="shared" si="17"/>
        <v>470</v>
      </c>
      <c r="I21" s="20">
        <f t="shared" si="7"/>
        <v>5.5703948749999999</v>
      </c>
      <c r="J21" s="20">
        <f t="shared" si="8"/>
        <v>12.425076607499999</v>
      </c>
      <c r="L21" s="13">
        <f t="shared" si="9"/>
        <v>0.76773168188596941</v>
      </c>
      <c r="M21" s="14">
        <f t="shared" si="10"/>
        <v>446.9876702127662</v>
      </c>
      <c r="N21" s="13">
        <f t="shared" si="18"/>
        <v>5.3000000000000025</v>
      </c>
      <c r="O21" s="13">
        <f t="shared" si="11"/>
        <v>11.523760357500008</v>
      </c>
      <c r="Q21" s="9">
        <f t="shared" si="12"/>
        <v>0.80154366401096899</v>
      </c>
      <c r="R21" s="10">
        <f t="shared" si="13"/>
        <v>464.25336321276592</v>
      </c>
      <c r="S21" s="9">
        <f t="shared" si="14"/>
        <v>5.5028718927499991</v>
      </c>
      <c r="T21" s="9">
        <f t="shared" si="19"/>
        <v>12.199999999999998</v>
      </c>
    </row>
    <row r="22" spans="1:20" x14ac:dyDescent="0.2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2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2">
      <c r="A24" s="1" t="s">
        <v>72</v>
      </c>
      <c r="B24" s="57">
        <f>Conventional!$N$30</f>
        <v>422.77026661174233</v>
      </c>
      <c r="C24" s="57">
        <f>Conventional!$P$30</f>
        <v>550.27682500000003</v>
      </c>
      <c r="D24" s="57">
        <f>Conventional!$R$30</f>
        <v>313.09462896249994</v>
      </c>
      <c r="E24" s="57">
        <f>Conventional!$T$30</f>
        <v>212.16840435000003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2">
      <c r="A25" s="1" t="s">
        <v>73</v>
      </c>
      <c r="B25" s="58">
        <f>Conventional!$N$7</f>
        <v>750</v>
      </c>
      <c r="C25" s="58">
        <f>Conventional!$P$7</f>
        <v>3400</v>
      </c>
      <c r="D25" s="58">
        <f>Conventional!$R$7</f>
        <v>85</v>
      </c>
      <c r="E25" s="58">
        <f>Conventional!$T$7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2">
      <c r="B26" s="406" t="s">
        <v>74</v>
      </c>
      <c r="C26" s="406"/>
      <c r="D26" s="406"/>
      <c r="E26" s="406"/>
      <c r="F26" s="29"/>
      <c r="G26" s="407" t="s">
        <v>75</v>
      </c>
      <c r="H26" s="407"/>
      <c r="I26" s="407"/>
      <c r="J26" s="407"/>
      <c r="K26" s="29"/>
      <c r="L26" s="408" t="s">
        <v>76</v>
      </c>
      <c r="M26" s="408"/>
      <c r="N26" s="408"/>
      <c r="O26" s="408"/>
      <c r="P26" s="29"/>
      <c r="Q26" s="409" t="s">
        <v>77</v>
      </c>
      <c r="R26" s="409"/>
      <c r="S26" s="409"/>
      <c r="T26" s="409"/>
    </row>
    <row r="27" spans="1:20" s="8" customFormat="1" ht="38.25" x14ac:dyDescent="0.2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2">
      <c r="B28" s="18">
        <f t="shared" ref="B28:B33" si="20">B29-0.025</f>
        <v>0.5249999999999998</v>
      </c>
      <c r="C28" s="19">
        <f t="shared" ref="C28:C42" si="21">(((B28*$B$25)-$B$24+$C$24)/$C$25)*2000</f>
        <v>306.62150493426913</v>
      </c>
      <c r="D28" s="18">
        <f t="shared" ref="D28:D42" si="22">(((B28*$B$25)-$B$24+$D$24)/$D$25)</f>
        <v>3.3420513217736167</v>
      </c>
      <c r="E28" s="18">
        <f t="shared" ref="E28:E42" si="23">(((B28*$B$25)-$B$24+$E$24)/$E$25)</f>
        <v>6.104937924608584</v>
      </c>
      <c r="G28" s="20">
        <f>(((H28*$C$25/2000)-$C$24+$B$24)/$B$25)</f>
        <v>0.57799125548232311</v>
      </c>
      <c r="H28" s="21">
        <f t="shared" ref="H28:H33" si="24">H29-10</f>
        <v>330</v>
      </c>
      <c r="I28" s="20">
        <f>(((H28*$C$25/2000)-$C$24+$D$24)/$D$25)</f>
        <v>3.809621223088234</v>
      </c>
      <c r="J28" s="20">
        <f>(((H28*$C$25/2000)-$C$24+$E$24)/$E$25)</f>
        <v>7.4297193116666671</v>
      </c>
      <c r="L28" s="17">
        <f>(((N28*$D$25)-$D$24+$B$24)/$B$25)</f>
        <v>0.5089008501989899</v>
      </c>
      <c r="M28" s="14">
        <f>(((N28*$D$25)-$D$24+$C$24)/$C$25)*2000</f>
        <v>299.51893884558825</v>
      </c>
      <c r="N28" s="13">
        <f t="shared" ref="N28:N33" si="25">N29-0.15</f>
        <v>3.2</v>
      </c>
      <c r="O28" s="13">
        <f>(((N28*$D$25)-$D$24+$E$24)/$E$25)</f>
        <v>5.7024591795833368</v>
      </c>
      <c r="Q28" s="9">
        <f>(((T28*$E$25)-$E$24+$B$24)/$B$25)</f>
        <v>0.57280248301565651</v>
      </c>
      <c r="R28" s="10">
        <f>(((T28*$E$25)-$E$24+$C$24)/$C$25)*2000</f>
        <v>327.71083567647065</v>
      </c>
      <c r="S28" s="9">
        <f>(((T28*$E$25)-$E$24+$D$24)/$D$25)</f>
        <v>3.7638379366176471</v>
      </c>
      <c r="T28" s="9">
        <f t="shared" ref="T28:T33" si="26">T29-0.35</f>
        <v>7.3000000000000025</v>
      </c>
    </row>
    <row r="29" spans="1:20" x14ac:dyDescent="0.2">
      <c r="B29" s="18">
        <f t="shared" si="20"/>
        <v>0.54999999999999982</v>
      </c>
      <c r="C29" s="19">
        <f t="shared" si="21"/>
        <v>317.6509166989751</v>
      </c>
      <c r="D29" s="18">
        <f t="shared" si="22"/>
        <v>3.5626395570677354</v>
      </c>
      <c r="E29" s="18">
        <f t="shared" si="23"/>
        <v>6.7299379246085866</v>
      </c>
      <c r="G29" s="20">
        <f t="shared" ref="G29:G42" si="27">(((H29*$C$25/2000)-$C$24+$B$24)/$B$25)</f>
        <v>0.60065792214898972</v>
      </c>
      <c r="H29" s="21">
        <f t="shared" si="24"/>
        <v>340</v>
      </c>
      <c r="I29" s="20">
        <f t="shared" ref="I29:I42" si="28">(((H29*$C$25/2000)-$C$24+$D$24)/$D$25)</f>
        <v>4.0096212230882342</v>
      </c>
      <c r="J29" s="20">
        <f t="shared" ref="J29:J42" si="29">(((H29*$C$25/2000)-$C$24+$E$24)/$E$25)</f>
        <v>7.9963859783333335</v>
      </c>
      <c r="L29" s="17">
        <f t="shared" ref="L29:L42" si="30">(((N29*$D$25)-$D$24+$B$24)/$B$25)</f>
        <v>0.5259008501989898</v>
      </c>
      <c r="M29" s="14">
        <f t="shared" ref="M29:M42" si="31">(((N29*$D$25)-$D$24+$C$24)/$C$25)*2000</f>
        <v>307.01893884558825</v>
      </c>
      <c r="N29" s="13">
        <f t="shared" si="25"/>
        <v>3.35</v>
      </c>
      <c r="O29" s="13">
        <f t="shared" ref="O29:O42" si="32">(((N29*$D$25)-$D$24+$E$24)/$E$25)</f>
        <v>6.1274591795833366</v>
      </c>
      <c r="Q29" s="9">
        <f t="shared" ref="Q29:Q42" si="33">(((T29*$E$25)-$E$24+$B$24)/$B$25)</f>
        <v>0.58680248301565641</v>
      </c>
      <c r="R29" s="10">
        <f t="shared" ref="R29:R42" si="34">(((T29*$E$25)-$E$24+$C$24)/$C$25)*2000</f>
        <v>333.8873062647059</v>
      </c>
      <c r="S29" s="9">
        <f t="shared" ref="S29:S42" si="35">(((T29*$E$25)-$E$24+$D$24)/$D$25)</f>
        <v>3.8873673483823521</v>
      </c>
      <c r="T29" s="9">
        <f t="shared" si="26"/>
        <v>7.6500000000000021</v>
      </c>
    </row>
    <row r="30" spans="1:20" x14ac:dyDescent="0.2">
      <c r="B30" s="18">
        <f t="shared" si="20"/>
        <v>0.57499999999999984</v>
      </c>
      <c r="C30" s="19">
        <f t="shared" si="21"/>
        <v>328.68032846368095</v>
      </c>
      <c r="D30" s="18">
        <f t="shared" si="22"/>
        <v>3.7832277923618527</v>
      </c>
      <c r="E30" s="18">
        <f t="shared" si="23"/>
        <v>7.3549379246085866</v>
      </c>
      <c r="G30" s="20">
        <f t="shared" si="27"/>
        <v>0.62332458881565644</v>
      </c>
      <c r="H30" s="21">
        <f t="shared" si="24"/>
        <v>350</v>
      </c>
      <c r="I30" s="20">
        <f t="shared" si="28"/>
        <v>4.2096212230882344</v>
      </c>
      <c r="J30" s="20">
        <f t="shared" si="29"/>
        <v>8.5630526450000009</v>
      </c>
      <c r="L30" s="17">
        <f t="shared" si="30"/>
        <v>0.54290085019898981</v>
      </c>
      <c r="M30" s="14">
        <f t="shared" si="31"/>
        <v>314.51893884558825</v>
      </c>
      <c r="N30" s="13">
        <f t="shared" si="25"/>
        <v>3.5</v>
      </c>
      <c r="O30" s="13">
        <f t="shared" si="32"/>
        <v>6.5524591795833365</v>
      </c>
      <c r="Q30" s="9">
        <f t="shared" si="33"/>
        <v>0.60080248301565642</v>
      </c>
      <c r="R30" s="10">
        <f t="shared" si="34"/>
        <v>340.0637768529412</v>
      </c>
      <c r="S30" s="9">
        <f t="shared" si="35"/>
        <v>4.010896760147058</v>
      </c>
      <c r="T30" s="9">
        <f t="shared" si="26"/>
        <v>8.0000000000000018</v>
      </c>
    </row>
    <row r="31" spans="1:20" x14ac:dyDescent="0.2">
      <c r="B31" s="18">
        <f t="shared" si="20"/>
        <v>0.59999999999999987</v>
      </c>
      <c r="C31" s="19">
        <f t="shared" si="21"/>
        <v>339.70974022838686</v>
      </c>
      <c r="D31" s="18">
        <f t="shared" si="22"/>
        <v>4.0038160276559704</v>
      </c>
      <c r="E31" s="18">
        <f t="shared" si="23"/>
        <v>7.9799379246085866</v>
      </c>
      <c r="G31" s="20">
        <f t="shared" si="27"/>
        <v>0.64599125548232306</v>
      </c>
      <c r="H31" s="21">
        <f t="shared" si="24"/>
        <v>360</v>
      </c>
      <c r="I31" s="20">
        <f t="shared" si="28"/>
        <v>4.4096212230882346</v>
      </c>
      <c r="J31" s="20">
        <f t="shared" si="29"/>
        <v>9.1297193116666673</v>
      </c>
      <c r="L31" s="17">
        <f t="shared" si="30"/>
        <v>0.55990085019898983</v>
      </c>
      <c r="M31" s="14">
        <f t="shared" si="31"/>
        <v>322.01893884558825</v>
      </c>
      <c r="N31" s="13">
        <f t="shared" si="25"/>
        <v>3.65</v>
      </c>
      <c r="O31" s="13">
        <f t="shared" si="32"/>
        <v>6.9774591795833363</v>
      </c>
      <c r="Q31" s="9">
        <f t="shared" si="33"/>
        <v>0.61480248301565643</v>
      </c>
      <c r="R31" s="10">
        <f t="shared" si="34"/>
        <v>346.24024744117656</v>
      </c>
      <c r="S31" s="9">
        <f t="shared" si="35"/>
        <v>4.1344261719117643</v>
      </c>
      <c r="T31" s="9">
        <f t="shared" si="26"/>
        <v>8.3500000000000014</v>
      </c>
    </row>
    <row r="32" spans="1:20" x14ac:dyDescent="0.2">
      <c r="B32" s="18">
        <f t="shared" si="20"/>
        <v>0.62499999999999989</v>
      </c>
      <c r="C32" s="19">
        <f t="shared" si="21"/>
        <v>350.73915199309272</v>
      </c>
      <c r="D32" s="18">
        <f t="shared" si="22"/>
        <v>4.2244042629500891</v>
      </c>
      <c r="E32" s="18">
        <f t="shared" si="23"/>
        <v>8.6049379246085884</v>
      </c>
      <c r="G32" s="20">
        <f t="shared" si="27"/>
        <v>0.66865792214898978</v>
      </c>
      <c r="H32" s="21">
        <f t="shared" si="24"/>
        <v>370</v>
      </c>
      <c r="I32" s="20">
        <f t="shared" si="28"/>
        <v>4.6096212230882339</v>
      </c>
      <c r="J32" s="20">
        <f t="shared" si="29"/>
        <v>9.6963859783333337</v>
      </c>
      <c r="L32" s="17">
        <f t="shared" si="30"/>
        <v>0.57690085019898985</v>
      </c>
      <c r="M32" s="14">
        <f t="shared" si="31"/>
        <v>329.51893884558825</v>
      </c>
      <c r="N32" s="13">
        <f t="shared" si="25"/>
        <v>3.8</v>
      </c>
      <c r="O32" s="13">
        <f t="shared" si="32"/>
        <v>7.4024591795833361</v>
      </c>
      <c r="Q32" s="9">
        <f t="shared" si="33"/>
        <v>0.62880248301565644</v>
      </c>
      <c r="R32" s="10">
        <f t="shared" si="34"/>
        <v>352.41671802941181</v>
      </c>
      <c r="S32" s="9">
        <f t="shared" si="35"/>
        <v>4.2579555836764698</v>
      </c>
      <c r="T32" s="9">
        <f t="shared" si="26"/>
        <v>8.7000000000000011</v>
      </c>
    </row>
    <row r="33" spans="1:20" x14ac:dyDescent="0.2">
      <c r="B33" s="18">
        <f t="shared" si="20"/>
        <v>0.64999999999999991</v>
      </c>
      <c r="C33" s="19">
        <f t="shared" si="21"/>
        <v>361.76856375779857</v>
      </c>
      <c r="D33" s="18">
        <f t="shared" si="22"/>
        <v>4.4449924982442068</v>
      </c>
      <c r="E33" s="18">
        <f t="shared" si="23"/>
        <v>9.2299379246085884</v>
      </c>
      <c r="G33" s="20">
        <f t="shared" si="27"/>
        <v>0.6913245888156565</v>
      </c>
      <c r="H33" s="21">
        <f t="shared" si="24"/>
        <v>380</v>
      </c>
      <c r="I33" s="20">
        <f t="shared" si="28"/>
        <v>4.809621223088234</v>
      </c>
      <c r="J33" s="20">
        <f t="shared" si="29"/>
        <v>10.263052645</v>
      </c>
      <c r="L33" s="17">
        <f t="shared" si="30"/>
        <v>0.59390085019898986</v>
      </c>
      <c r="M33" s="14">
        <f t="shared" si="31"/>
        <v>337.01893884558825</v>
      </c>
      <c r="N33" s="13">
        <f t="shared" si="25"/>
        <v>3.9499999999999997</v>
      </c>
      <c r="O33" s="13">
        <f t="shared" si="32"/>
        <v>7.8274591795833368</v>
      </c>
      <c r="Q33" s="9">
        <f t="shared" si="33"/>
        <v>0.64280248301565646</v>
      </c>
      <c r="R33" s="10">
        <f t="shared" si="34"/>
        <v>358.59318861764706</v>
      </c>
      <c r="S33" s="9">
        <f t="shared" si="35"/>
        <v>4.3814849954411761</v>
      </c>
      <c r="T33" s="9">
        <f t="shared" si="26"/>
        <v>9.0500000000000007</v>
      </c>
    </row>
    <row r="34" spans="1:20" ht="13.5" thickBot="1" x14ac:dyDescent="0.25">
      <c r="B34" s="18">
        <f>B35-0.025</f>
        <v>0.67499999999999993</v>
      </c>
      <c r="C34" s="19">
        <f t="shared" si="21"/>
        <v>372.79797552250449</v>
      </c>
      <c r="D34" s="18">
        <f t="shared" si="22"/>
        <v>4.6655807335383246</v>
      </c>
      <c r="E34" s="18">
        <f t="shared" si="23"/>
        <v>9.8549379246085884</v>
      </c>
      <c r="G34" s="20">
        <f t="shared" si="27"/>
        <v>0.71399125548232312</v>
      </c>
      <c r="H34" s="21">
        <f>H35-10</f>
        <v>390</v>
      </c>
      <c r="I34" s="20">
        <f t="shared" si="28"/>
        <v>5.0096212230882342</v>
      </c>
      <c r="J34" s="20">
        <f t="shared" si="29"/>
        <v>10.829719311666668</v>
      </c>
      <c r="L34" s="17">
        <f t="shared" si="30"/>
        <v>0.61090085019898976</v>
      </c>
      <c r="M34" s="14">
        <f t="shared" si="31"/>
        <v>344.51893884558825</v>
      </c>
      <c r="N34" s="13">
        <f>N35-0.15</f>
        <v>4.0999999999999996</v>
      </c>
      <c r="O34" s="13">
        <f t="shared" si="32"/>
        <v>8.2524591795833349</v>
      </c>
      <c r="Q34" s="9">
        <f t="shared" si="33"/>
        <v>0.65680248301565647</v>
      </c>
      <c r="R34" s="10">
        <f t="shared" si="34"/>
        <v>364.76965920588236</v>
      </c>
      <c r="S34" s="9">
        <f t="shared" si="35"/>
        <v>4.5050144072058815</v>
      </c>
      <c r="T34" s="9">
        <f>T35-0.35</f>
        <v>9.4</v>
      </c>
    </row>
    <row r="35" spans="1:20" ht="13.5" thickBot="1" x14ac:dyDescent="0.25">
      <c r="B35" s="24">
        <f>Conventional!$B$8</f>
        <v>0.7</v>
      </c>
      <c r="C35" s="19">
        <f t="shared" si="21"/>
        <v>383.8273872872104</v>
      </c>
      <c r="D35" s="18">
        <f t="shared" si="22"/>
        <v>4.8861689688324423</v>
      </c>
      <c r="E35" s="18">
        <f t="shared" si="23"/>
        <v>10.479937924608588</v>
      </c>
      <c r="G35" s="20">
        <f t="shared" si="27"/>
        <v>0.73665792214898984</v>
      </c>
      <c r="H35" s="22">
        <f>Conventional!$D$8</f>
        <v>400</v>
      </c>
      <c r="I35" s="20">
        <f t="shared" si="28"/>
        <v>5.2096212230882344</v>
      </c>
      <c r="J35" s="20">
        <f t="shared" si="29"/>
        <v>11.396385978333335</v>
      </c>
      <c r="L35" s="17">
        <f t="shared" si="30"/>
        <v>0.62790085019898989</v>
      </c>
      <c r="M35" s="14">
        <f t="shared" si="31"/>
        <v>352.01893884558825</v>
      </c>
      <c r="N35" s="15">
        <f>Conventional!$F$8</f>
        <v>4.25</v>
      </c>
      <c r="O35" s="13">
        <f t="shared" si="32"/>
        <v>8.6774591795833356</v>
      </c>
      <c r="Q35" s="9">
        <f t="shared" si="33"/>
        <v>0.67080248301565648</v>
      </c>
      <c r="R35" s="10">
        <f t="shared" si="34"/>
        <v>370.94612979411761</v>
      </c>
      <c r="S35" s="9">
        <f t="shared" si="35"/>
        <v>4.6285438189705879</v>
      </c>
      <c r="T35" s="11">
        <f>Conventional!$H$8</f>
        <v>9.75</v>
      </c>
    </row>
    <row r="36" spans="1:20" x14ac:dyDescent="0.2">
      <c r="B36" s="18">
        <f>B35+0.025</f>
        <v>0.72499999999999998</v>
      </c>
      <c r="C36" s="19">
        <f t="shared" si="21"/>
        <v>394.85679905191631</v>
      </c>
      <c r="D36" s="18">
        <f t="shared" si="22"/>
        <v>5.1067572041265601</v>
      </c>
      <c r="E36" s="18">
        <f t="shared" si="23"/>
        <v>11.104937924608588</v>
      </c>
      <c r="G36" s="20">
        <f t="shared" si="27"/>
        <v>0.75932458881565645</v>
      </c>
      <c r="H36" s="21">
        <f>H35+10</f>
        <v>410</v>
      </c>
      <c r="I36" s="20">
        <f t="shared" si="28"/>
        <v>5.4096212230882346</v>
      </c>
      <c r="J36" s="20">
        <f t="shared" si="29"/>
        <v>11.963052645000001</v>
      </c>
      <c r="L36" s="17">
        <f t="shared" si="30"/>
        <v>0.64490085019898991</v>
      </c>
      <c r="M36" s="14">
        <f t="shared" si="31"/>
        <v>359.51893884558831</v>
      </c>
      <c r="N36" s="13">
        <f>N35+0.15</f>
        <v>4.4000000000000004</v>
      </c>
      <c r="O36" s="13">
        <f t="shared" si="32"/>
        <v>9.1024591795833398</v>
      </c>
      <c r="Q36" s="9">
        <f t="shared" si="33"/>
        <v>0.68480248301565638</v>
      </c>
      <c r="R36" s="10">
        <f t="shared" si="34"/>
        <v>377.12260038235291</v>
      </c>
      <c r="S36" s="9">
        <f t="shared" si="35"/>
        <v>4.7520732307352933</v>
      </c>
      <c r="T36" s="9">
        <f>T35+0.35</f>
        <v>10.1</v>
      </c>
    </row>
    <row r="37" spans="1:20" x14ac:dyDescent="0.2">
      <c r="B37" s="18">
        <f t="shared" ref="B37:B42" si="36">B36+0.025</f>
        <v>0.75</v>
      </c>
      <c r="C37" s="19">
        <f t="shared" si="21"/>
        <v>405.88621081662211</v>
      </c>
      <c r="D37" s="18">
        <f t="shared" si="22"/>
        <v>5.3273454394206778</v>
      </c>
      <c r="E37" s="18">
        <f t="shared" si="23"/>
        <v>11.729937924608588</v>
      </c>
      <c r="G37" s="20">
        <f t="shared" si="27"/>
        <v>0.78199125548232318</v>
      </c>
      <c r="H37" s="21">
        <f t="shared" ref="H37:H42" si="37">H36+10</f>
        <v>420</v>
      </c>
      <c r="I37" s="20">
        <f t="shared" si="28"/>
        <v>5.6096212230882339</v>
      </c>
      <c r="J37" s="20">
        <f t="shared" si="29"/>
        <v>12.529719311666668</v>
      </c>
      <c r="L37" s="17">
        <f t="shared" si="30"/>
        <v>0.66190085019898992</v>
      </c>
      <c r="M37" s="14">
        <f t="shared" si="31"/>
        <v>367.01893884558837</v>
      </c>
      <c r="N37" s="13">
        <f t="shared" ref="N37:N42" si="38">N36+0.15</f>
        <v>4.5500000000000007</v>
      </c>
      <c r="O37" s="13">
        <f t="shared" si="32"/>
        <v>9.5274591795833388</v>
      </c>
      <c r="Q37" s="9">
        <f t="shared" si="33"/>
        <v>0.69880248301565639</v>
      </c>
      <c r="R37" s="10">
        <f t="shared" si="34"/>
        <v>383.29907097058822</v>
      </c>
      <c r="S37" s="9">
        <f t="shared" si="35"/>
        <v>4.8756026424999996</v>
      </c>
      <c r="T37" s="9">
        <f t="shared" ref="T37:T42" si="39">T36+0.35</f>
        <v>10.45</v>
      </c>
    </row>
    <row r="38" spans="1:20" x14ac:dyDescent="0.2">
      <c r="B38" s="18">
        <f t="shared" si="36"/>
        <v>0.77500000000000002</v>
      </c>
      <c r="C38" s="19">
        <f t="shared" si="21"/>
        <v>416.91562258132802</v>
      </c>
      <c r="D38" s="18">
        <f t="shared" si="22"/>
        <v>5.5479336747147956</v>
      </c>
      <c r="E38" s="18">
        <f t="shared" si="23"/>
        <v>12.354937924608588</v>
      </c>
      <c r="G38" s="20">
        <f t="shared" si="27"/>
        <v>0.80465792214898979</v>
      </c>
      <c r="H38" s="21">
        <f t="shared" si="37"/>
        <v>430</v>
      </c>
      <c r="I38" s="20">
        <f t="shared" si="28"/>
        <v>5.809621223088234</v>
      </c>
      <c r="J38" s="20">
        <f t="shared" si="29"/>
        <v>13.096385978333334</v>
      </c>
      <c r="L38" s="17">
        <f t="shared" si="30"/>
        <v>0.67890085019899005</v>
      </c>
      <c r="M38" s="14">
        <f t="shared" si="31"/>
        <v>374.51893884558842</v>
      </c>
      <c r="N38" s="13">
        <f t="shared" si="38"/>
        <v>4.7000000000000011</v>
      </c>
      <c r="O38" s="13">
        <f t="shared" si="32"/>
        <v>9.9524591795833395</v>
      </c>
      <c r="Q38" s="9">
        <f t="shared" si="33"/>
        <v>0.7128024830156563</v>
      </c>
      <c r="R38" s="10">
        <f t="shared" si="34"/>
        <v>389.47554155882352</v>
      </c>
      <c r="S38" s="9">
        <f t="shared" si="35"/>
        <v>4.9991320542647042</v>
      </c>
      <c r="T38" s="9">
        <f t="shared" si="39"/>
        <v>10.799999999999999</v>
      </c>
    </row>
    <row r="39" spans="1:20" x14ac:dyDescent="0.2">
      <c r="B39" s="18">
        <f t="shared" si="36"/>
        <v>0.8</v>
      </c>
      <c r="C39" s="19">
        <f t="shared" si="21"/>
        <v>427.94503434603394</v>
      </c>
      <c r="D39" s="18">
        <f t="shared" si="22"/>
        <v>5.7685219100089133</v>
      </c>
      <c r="E39" s="18">
        <f t="shared" si="23"/>
        <v>12.979937924608588</v>
      </c>
      <c r="G39" s="20">
        <f t="shared" si="27"/>
        <v>0.82732458881565651</v>
      </c>
      <c r="H39" s="21">
        <f t="shared" si="37"/>
        <v>440</v>
      </c>
      <c r="I39" s="20">
        <f t="shared" si="28"/>
        <v>6.0096212230882342</v>
      </c>
      <c r="J39" s="20">
        <f t="shared" si="29"/>
        <v>13.663052645</v>
      </c>
      <c r="L39" s="17">
        <f t="shared" si="30"/>
        <v>0.69590085019898995</v>
      </c>
      <c r="M39" s="14">
        <f t="shared" si="31"/>
        <v>382.01893884558842</v>
      </c>
      <c r="N39" s="13">
        <f t="shared" si="38"/>
        <v>4.8500000000000014</v>
      </c>
      <c r="O39" s="13">
        <f t="shared" si="32"/>
        <v>10.377459179583338</v>
      </c>
      <c r="Q39" s="9">
        <f t="shared" si="33"/>
        <v>0.72680248301565631</v>
      </c>
      <c r="R39" s="10">
        <f t="shared" si="34"/>
        <v>395.65201214705883</v>
      </c>
      <c r="S39" s="9">
        <f t="shared" si="35"/>
        <v>5.1226614660294096</v>
      </c>
      <c r="T39" s="9">
        <f t="shared" si="39"/>
        <v>11.149999999999999</v>
      </c>
    </row>
    <row r="40" spans="1:20" x14ac:dyDescent="0.2">
      <c r="B40" s="18">
        <f t="shared" si="36"/>
        <v>0.82500000000000007</v>
      </c>
      <c r="C40" s="19">
        <f t="shared" si="21"/>
        <v>438.97444611073979</v>
      </c>
      <c r="D40" s="18">
        <f t="shared" si="22"/>
        <v>5.9891101453030311</v>
      </c>
      <c r="E40" s="18">
        <f t="shared" si="23"/>
        <v>13.604937924608588</v>
      </c>
      <c r="G40" s="20">
        <f t="shared" si="27"/>
        <v>0.84999125548232313</v>
      </c>
      <c r="H40" s="21">
        <f t="shared" si="37"/>
        <v>450</v>
      </c>
      <c r="I40" s="20">
        <f t="shared" si="28"/>
        <v>6.2096212230882353</v>
      </c>
      <c r="J40" s="20">
        <f t="shared" si="29"/>
        <v>14.229719311666667</v>
      </c>
      <c r="L40" s="17">
        <f t="shared" si="30"/>
        <v>0.71290085019899019</v>
      </c>
      <c r="M40" s="14">
        <f t="shared" si="31"/>
        <v>389.51893884558842</v>
      </c>
      <c r="N40" s="13">
        <f t="shared" si="38"/>
        <v>5.0000000000000018</v>
      </c>
      <c r="O40" s="13">
        <f t="shared" si="32"/>
        <v>10.802459179583343</v>
      </c>
      <c r="Q40" s="9">
        <f t="shared" si="33"/>
        <v>0.74080248301565632</v>
      </c>
      <c r="R40" s="10">
        <f t="shared" si="34"/>
        <v>401.82848273529407</v>
      </c>
      <c r="S40" s="9">
        <f t="shared" si="35"/>
        <v>5.246190877794116</v>
      </c>
      <c r="T40" s="9">
        <f t="shared" si="39"/>
        <v>11.499999999999998</v>
      </c>
    </row>
    <row r="41" spans="1:20" x14ac:dyDescent="0.2">
      <c r="A41" s="2"/>
      <c r="B41" s="37">
        <f t="shared" si="36"/>
        <v>0.85000000000000009</v>
      </c>
      <c r="C41" s="38">
        <f t="shared" si="21"/>
        <v>450.00385787544582</v>
      </c>
      <c r="D41" s="37">
        <f t="shared" si="22"/>
        <v>6.2096983805971497</v>
      </c>
      <c r="E41" s="37">
        <f t="shared" si="23"/>
        <v>14.229937924608594</v>
      </c>
      <c r="G41" s="39">
        <f t="shared" si="27"/>
        <v>0.87265792214898985</v>
      </c>
      <c r="H41" s="40">
        <f t="shared" si="37"/>
        <v>460</v>
      </c>
      <c r="I41" s="39">
        <f t="shared" si="28"/>
        <v>6.4096212230882346</v>
      </c>
      <c r="J41" s="39">
        <f t="shared" si="29"/>
        <v>14.796385978333335</v>
      </c>
      <c r="L41" s="41">
        <f t="shared" si="30"/>
        <v>0.7299008501989902</v>
      </c>
      <c r="M41" s="42">
        <f t="shared" si="31"/>
        <v>397.01893884558837</v>
      </c>
      <c r="N41" s="43">
        <f t="shared" si="38"/>
        <v>5.1500000000000021</v>
      </c>
      <c r="O41" s="43">
        <f t="shared" si="32"/>
        <v>11.227459179583343</v>
      </c>
      <c r="Q41" s="44">
        <f t="shared" si="33"/>
        <v>0.75480248301565633</v>
      </c>
      <c r="R41" s="45">
        <f t="shared" si="34"/>
        <v>408.00495332352938</v>
      </c>
      <c r="S41" s="44">
        <f t="shared" si="35"/>
        <v>5.3697202895588214</v>
      </c>
      <c r="T41" s="44">
        <f t="shared" si="39"/>
        <v>11.849999999999998</v>
      </c>
    </row>
    <row r="42" spans="1:20" x14ac:dyDescent="0.2">
      <c r="A42" s="46"/>
      <c r="B42" s="47">
        <f t="shared" si="36"/>
        <v>0.87500000000000011</v>
      </c>
      <c r="C42" s="48">
        <f t="shared" si="21"/>
        <v>461.03326964015167</v>
      </c>
      <c r="D42" s="47">
        <f t="shared" si="22"/>
        <v>6.4302866158912675</v>
      </c>
      <c r="E42" s="47">
        <f t="shared" si="23"/>
        <v>14.854937924608594</v>
      </c>
      <c r="F42" s="46"/>
      <c r="G42" s="49">
        <f t="shared" si="27"/>
        <v>0.89532458881565646</v>
      </c>
      <c r="H42" s="50">
        <f t="shared" si="37"/>
        <v>470</v>
      </c>
      <c r="I42" s="49">
        <f t="shared" si="28"/>
        <v>6.6096212230882347</v>
      </c>
      <c r="J42" s="49">
        <f t="shared" si="29"/>
        <v>15.363052645000002</v>
      </c>
      <c r="K42" s="46"/>
      <c r="L42" s="51">
        <f t="shared" si="30"/>
        <v>0.74690085019899011</v>
      </c>
      <c r="M42" s="52">
        <f t="shared" si="31"/>
        <v>404.51893884558837</v>
      </c>
      <c r="N42" s="53">
        <f t="shared" si="38"/>
        <v>5.3000000000000025</v>
      </c>
      <c r="O42" s="53">
        <f t="shared" si="32"/>
        <v>11.652459179583342</v>
      </c>
      <c r="P42" s="46"/>
      <c r="Q42" s="54">
        <f t="shared" si="33"/>
        <v>0.76880248301565624</v>
      </c>
      <c r="R42" s="55">
        <f t="shared" si="34"/>
        <v>414.18142391176474</v>
      </c>
      <c r="S42" s="54">
        <f t="shared" si="35"/>
        <v>5.4932497013235277</v>
      </c>
      <c r="T42" s="54">
        <f t="shared" si="39"/>
        <v>12.199999999999998</v>
      </c>
    </row>
    <row r="43" spans="1:20" x14ac:dyDescent="0.2">
      <c r="A43" s="405" t="s">
        <v>84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</row>
    <row r="44" spans="1:20" x14ac:dyDescent="0.2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2">
      <c r="A45" s="1" t="s">
        <v>70</v>
      </c>
      <c r="B45" s="4">
        <f>'Strip-Till'!B$31</f>
        <v>540.16635992878776</v>
      </c>
      <c r="C45" s="4">
        <f>'Strip-Till'!D$31</f>
        <v>651.79450000000008</v>
      </c>
      <c r="D45" s="4">
        <f>'Strip-Till'!F$31</f>
        <v>670.29427500000008</v>
      </c>
      <c r="E45" s="4">
        <f>'Strip-Till'!H$31</f>
        <v>319.32402145000003</v>
      </c>
    </row>
    <row r="46" spans="1:20" x14ac:dyDescent="0.2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2">
      <c r="A47" s="6"/>
      <c r="B47" s="406" t="s">
        <v>74</v>
      </c>
      <c r="C47" s="406"/>
      <c r="D47" s="406"/>
      <c r="E47" s="406"/>
      <c r="F47" s="29"/>
      <c r="G47" s="407" t="s">
        <v>75</v>
      </c>
      <c r="H47" s="407"/>
      <c r="I47" s="407"/>
      <c r="J47" s="407"/>
      <c r="K47" s="29"/>
      <c r="L47" s="408" t="s">
        <v>76</v>
      </c>
      <c r="M47" s="408"/>
      <c r="N47" s="408"/>
      <c r="O47" s="408"/>
      <c r="P47" s="29"/>
      <c r="Q47" s="409" t="s">
        <v>77</v>
      </c>
      <c r="R47" s="409"/>
      <c r="S47" s="409"/>
      <c r="T47" s="409"/>
    </row>
    <row r="48" spans="1:20" ht="25.5" x14ac:dyDescent="0.2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2">
      <c r="B49" s="18">
        <f t="shared" ref="B49:B54" si="40">B50-0.025</f>
        <v>0.5249999999999998</v>
      </c>
      <c r="C49" s="19">
        <f>(((B49*$B$46)-$B$45+$C$45)/$C$46)*2000</f>
        <v>315.58644258349449</v>
      </c>
      <c r="D49" s="18">
        <f>(((B49*$B$46)-$B$45+$D$45)/$D$46)</f>
        <v>3.8006395753560605</v>
      </c>
      <c r="E49" s="18">
        <f>(((B49*$B$46)-$B$45+$E$45)/$E$46)</f>
        <v>6.8192943586868671</v>
      </c>
      <c r="G49" s="20">
        <f>(((H49*$C$46/2000)-$C$45+$B$45)/$B$46)</f>
        <v>0.55322654994065634</v>
      </c>
      <c r="H49" s="21">
        <f t="shared" ref="H49:H54" si="41">H50-10</f>
        <v>330</v>
      </c>
      <c r="I49" s="20">
        <f>(((H49*$C$46/2000)-$C$45+$D$45)/$D$46)</f>
        <v>3.9699988749999999</v>
      </c>
      <c r="J49" s="20">
        <f>(((H49*$C$46/2000)-$C$45+$E$45)/$E$46)</f>
        <v>7.3838253574999992</v>
      </c>
      <c r="L49" s="17">
        <f>(((N49*$D$46)-$D$45+$B$45)/$B$46)</f>
        <v>0.42489340410732307</v>
      </c>
      <c r="M49" s="14">
        <f>(((N49*$D$46)-$D$45+$C$45)/$C$46)*2000</f>
        <v>264.46818085106383</v>
      </c>
      <c r="N49" s="13">
        <f t="shared" ref="N49:N54" si="42">N50-0.15</f>
        <v>3.2</v>
      </c>
      <c r="O49" s="13">
        <f>(((N49*$D$46)-$D$45+$E$45)/$E$46)</f>
        <v>4.8171624408333322</v>
      </c>
      <c r="Q49" s="36">
        <f>(((T49*$E$46)-$E$45+$B$45)/$B$46)</f>
        <v>0.54903528206565666</v>
      </c>
      <c r="R49" s="10">
        <f>(((T49*$E$46)-$E$45+$C$45)/$C$46)*2000</f>
        <v>327.85977810638309</v>
      </c>
      <c r="S49" s="9">
        <f>(((T49*$E$46)-$E$45+$D$45)/$D$46)</f>
        <v>3.9448512677500016</v>
      </c>
      <c r="T49" s="9">
        <f t="shared" ref="T49:T54" si="43">T50-0.35</f>
        <v>7.3000000000000025</v>
      </c>
    </row>
    <row r="50" spans="2:20" x14ac:dyDescent="0.2">
      <c r="B50" s="18">
        <f t="shared" si="40"/>
        <v>0.54999999999999982</v>
      </c>
      <c r="C50" s="19">
        <f t="shared" ref="C50:C63" si="44">(((B50*$B$46)-$B$45+$C$45)/$C$46)*2000</f>
        <v>328.35240003030304</v>
      </c>
      <c r="D50" s="18">
        <f t="shared" ref="D50:D63" si="45">(((B50*$B$46)-$B$45+$D$45)/$D$46)</f>
        <v>3.9506395753560604</v>
      </c>
      <c r="E50" s="18">
        <f t="shared" ref="E50:E63" si="46">(((B50*$B$46)-$B$45+$E$45)/$E$46)</f>
        <v>7.3192943586868671</v>
      </c>
      <c r="G50" s="20">
        <f t="shared" ref="G50:G63" si="47">(((H50*$C$46/2000)-$C$45+$B$45)/$B$46)</f>
        <v>0.57280988327398974</v>
      </c>
      <c r="H50" s="21">
        <f t="shared" si="41"/>
        <v>340</v>
      </c>
      <c r="I50" s="20">
        <f t="shared" ref="I50:I63" si="48">(((H50*$C$46/2000)-$C$45+$D$45)/$D$46)</f>
        <v>4.0874988749999996</v>
      </c>
      <c r="J50" s="20">
        <f t="shared" ref="J50:J63" si="49">(((H50*$C$46/2000)-$C$45+$E$45)/$E$46)</f>
        <v>7.7754920241666658</v>
      </c>
      <c r="L50" s="17">
        <f t="shared" ref="L50:L63" si="50">(((N50*$D$46)-$D$45+$B$45)/$B$46)</f>
        <v>0.44989340410732304</v>
      </c>
      <c r="M50" s="14">
        <f t="shared" ref="M50:M63" si="51">(((N50*$D$46)-$D$45+$C$45)/$C$46)*2000</f>
        <v>277.23413829787233</v>
      </c>
      <c r="N50" s="13">
        <f t="shared" si="42"/>
        <v>3.35</v>
      </c>
      <c r="O50" s="13">
        <f t="shared" ref="O50:O63" si="52">(((N50*$D$46)-$D$45+$E$45)/$E$46)</f>
        <v>5.3171624408333322</v>
      </c>
      <c r="Q50" s="36">
        <f t="shared" ref="Q50:Q63" si="53">(((T50*$E$46)-$E$45+$B$45)/$B$46)</f>
        <v>0.56653528206565651</v>
      </c>
      <c r="R50" s="10">
        <f t="shared" ref="R50:R63" si="54">(((T50*$E$46)-$E$45+$C$45)/$C$46)*2000</f>
        <v>336.79594831914898</v>
      </c>
      <c r="S50" s="9">
        <f t="shared" ref="S50:S63" si="55">(((T50*$E$46)-$E$45+$D$45)/$D$46)</f>
        <v>4.0498512677500011</v>
      </c>
      <c r="T50" s="9">
        <f t="shared" si="43"/>
        <v>7.6500000000000021</v>
      </c>
    </row>
    <row r="51" spans="2:20" x14ac:dyDescent="0.2">
      <c r="B51" s="18">
        <f t="shared" si="40"/>
        <v>0.57499999999999984</v>
      </c>
      <c r="C51" s="19">
        <f t="shared" si="44"/>
        <v>341.11835747711154</v>
      </c>
      <c r="D51" s="18">
        <f t="shared" si="45"/>
        <v>4.1006395753560607</v>
      </c>
      <c r="E51" s="18">
        <f t="shared" si="46"/>
        <v>7.8192943586868671</v>
      </c>
      <c r="G51" s="20">
        <f t="shared" si="47"/>
        <v>0.59239321660732303</v>
      </c>
      <c r="H51" s="21">
        <f t="shared" si="41"/>
        <v>350</v>
      </c>
      <c r="I51" s="20">
        <f t="shared" si="48"/>
        <v>4.2049988750000002</v>
      </c>
      <c r="J51" s="20">
        <f t="shared" si="49"/>
        <v>8.1671586908333325</v>
      </c>
      <c r="L51" s="17">
        <f t="shared" si="50"/>
        <v>0.47489340410732306</v>
      </c>
      <c r="M51" s="14">
        <f t="shared" si="51"/>
        <v>290.00009574468083</v>
      </c>
      <c r="N51" s="13">
        <f t="shared" si="42"/>
        <v>3.5</v>
      </c>
      <c r="O51" s="13">
        <f t="shared" si="52"/>
        <v>5.8171624408333322</v>
      </c>
      <c r="Q51" s="36">
        <f t="shared" si="53"/>
        <v>0.58403528206565658</v>
      </c>
      <c r="R51" s="10">
        <f t="shared" si="54"/>
        <v>345.73211853191498</v>
      </c>
      <c r="S51" s="9">
        <f t="shared" si="55"/>
        <v>4.1548512677500007</v>
      </c>
      <c r="T51" s="9">
        <f t="shared" si="43"/>
        <v>8.0000000000000018</v>
      </c>
    </row>
    <row r="52" spans="2:20" x14ac:dyDescent="0.2">
      <c r="B52" s="18">
        <f t="shared" si="40"/>
        <v>0.59999999999999987</v>
      </c>
      <c r="C52" s="19">
        <f t="shared" si="44"/>
        <v>353.8843149239201</v>
      </c>
      <c r="D52" s="18">
        <f t="shared" si="45"/>
        <v>4.2506395753560611</v>
      </c>
      <c r="E52" s="18">
        <f t="shared" si="46"/>
        <v>8.3192943586868697</v>
      </c>
      <c r="G52" s="20">
        <f t="shared" si="47"/>
        <v>0.61197654994065642</v>
      </c>
      <c r="H52" s="21">
        <f t="shared" si="41"/>
        <v>360</v>
      </c>
      <c r="I52" s="20">
        <f t="shared" si="48"/>
        <v>4.322498875</v>
      </c>
      <c r="J52" s="20">
        <f t="shared" si="49"/>
        <v>8.5588253575</v>
      </c>
      <c r="L52" s="17">
        <f t="shared" si="50"/>
        <v>0.49989340410732308</v>
      </c>
      <c r="M52" s="14">
        <f t="shared" si="51"/>
        <v>302.76605319148933</v>
      </c>
      <c r="N52" s="13">
        <f t="shared" si="42"/>
        <v>3.65</v>
      </c>
      <c r="O52" s="13">
        <f t="shared" si="52"/>
        <v>6.3171624408333322</v>
      </c>
      <c r="Q52" s="36">
        <f t="shared" si="53"/>
        <v>0.60153528206565654</v>
      </c>
      <c r="R52" s="10">
        <f t="shared" si="54"/>
        <v>354.66828874468092</v>
      </c>
      <c r="S52" s="9">
        <f t="shared" si="55"/>
        <v>4.2598512677500011</v>
      </c>
      <c r="T52" s="9">
        <f t="shared" si="43"/>
        <v>8.3500000000000014</v>
      </c>
    </row>
    <row r="53" spans="2:20" x14ac:dyDescent="0.2">
      <c r="B53" s="18">
        <f t="shared" si="40"/>
        <v>0.62499999999999989</v>
      </c>
      <c r="C53" s="19">
        <f t="shared" si="44"/>
        <v>366.6502723707286</v>
      </c>
      <c r="D53" s="18">
        <f t="shared" si="45"/>
        <v>4.4006395753560614</v>
      </c>
      <c r="E53" s="18">
        <f t="shared" si="46"/>
        <v>8.8192943586868697</v>
      </c>
      <c r="G53" s="20">
        <f t="shared" si="47"/>
        <v>0.63155988327398971</v>
      </c>
      <c r="H53" s="21">
        <f t="shared" si="41"/>
        <v>370</v>
      </c>
      <c r="I53" s="20">
        <f t="shared" si="48"/>
        <v>4.4399988749999997</v>
      </c>
      <c r="J53" s="20">
        <f t="shared" si="49"/>
        <v>8.9504920241666657</v>
      </c>
      <c r="L53" s="17">
        <f t="shared" si="50"/>
        <v>0.5248934041073231</v>
      </c>
      <c r="M53" s="14">
        <f t="shared" si="51"/>
        <v>315.53201063829789</v>
      </c>
      <c r="N53" s="13">
        <f t="shared" si="42"/>
        <v>3.8</v>
      </c>
      <c r="O53" s="13">
        <f t="shared" si="52"/>
        <v>6.8171624408333322</v>
      </c>
      <c r="Q53" s="36">
        <f t="shared" si="53"/>
        <v>0.6190352820656565</v>
      </c>
      <c r="R53" s="10">
        <f t="shared" si="54"/>
        <v>363.60445895744687</v>
      </c>
      <c r="S53" s="9">
        <f t="shared" si="55"/>
        <v>4.3648512677500007</v>
      </c>
      <c r="T53" s="9">
        <f t="shared" si="43"/>
        <v>8.7000000000000011</v>
      </c>
    </row>
    <row r="54" spans="2:20" x14ac:dyDescent="0.2">
      <c r="B54" s="18">
        <f t="shared" si="40"/>
        <v>0.64999999999999991</v>
      </c>
      <c r="C54" s="19">
        <f t="shared" si="44"/>
        <v>379.4162298175371</v>
      </c>
      <c r="D54" s="18">
        <f t="shared" si="45"/>
        <v>4.5506395753560609</v>
      </c>
      <c r="E54" s="18">
        <f t="shared" si="46"/>
        <v>9.3192943586868697</v>
      </c>
      <c r="G54" s="20">
        <f t="shared" si="47"/>
        <v>0.65114321660732311</v>
      </c>
      <c r="H54" s="21">
        <f t="shared" si="41"/>
        <v>380</v>
      </c>
      <c r="I54" s="20">
        <f t="shared" si="48"/>
        <v>4.5574988750000003</v>
      </c>
      <c r="J54" s="20">
        <f t="shared" si="49"/>
        <v>9.3421586908333332</v>
      </c>
      <c r="L54" s="17">
        <f t="shared" si="50"/>
        <v>0.54989340410732301</v>
      </c>
      <c r="M54" s="14">
        <f t="shared" si="51"/>
        <v>328.29796808510639</v>
      </c>
      <c r="N54" s="13">
        <f t="shared" si="42"/>
        <v>3.9499999999999997</v>
      </c>
      <c r="O54" s="13">
        <f t="shared" si="52"/>
        <v>7.3171624408333322</v>
      </c>
      <c r="Q54" s="36">
        <f t="shared" si="53"/>
        <v>0.63653528206565646</v>
      </c>
      <c r="R54" s="10">
        <f t="shared" si="54"/>
        <v>372.54062917021281</v>
      </c>
      <c r="S54" s="9">
        <f t="shared" si="55"/>
        <v>4.4698512677500002</v>
      </c>
      <c r="T54" s="9">
        <f t="shared" si="43"/>
        <v>9.0500000000000007</v>
      </c>
    </row>
    <row r="55" spans="2:20" ht="13.5" thickBot="1" x14ac:dyDescent="0.25">
      <c r="B55" s="18">
        <f>B56-0.025</f>
        <v>0.67499999999999993</v>
      </c>
      <c r="C55" s="19">
        <f t="shared" si="44"/>
        <v>392.1821872643456</v>
      </c>
      <c r="D55" s="18">
        <f t="shared" si="45"/>
        <v>4.7006395753560613</v>
      </c>
      <c r="E55" s="18">
        <f t="shared" si="46"/>
        <v>9.8192943586868697</v>
      </c>
      <c r="G55" s="20">
        <f t="shared" si="47"/>
        <v>0.67072654994065639</v>
      </c>
      <c r="H55" s="21">
        <f>H56-10</f>
        <v>390</v>
      </c>
      <c r="I55" s="20">
        <f t="shared" si="48"/>
        <v>4.674998875</v>
      </c>
      <c r="J55" s="20">
        <f t="shared" si="49"/>
        <v>9.7338253574999989</v>
      </c>
      <c r="L55" s="17">
        <f t="shared" si="50"/>
        <v>0.57489340410732293</v>
      </c>
      <c r="M55" s="14">
        <f t="shared" si="51"/>
        <v>341.06392553191483</v>
      </c>
      <c r="N55" s="13">
        <f>N56-0.15</f>
        <v>4.0999999999999996</v>
      </c>
      <c r="O55" s="13">
        <f t="shared" si="52"/>
        <v>7.8171624408333305</v>
      </c>
      <c r="Q55" s="36">
        <f t="shared" si="53"/>
        <v>0.65403528206565642</v>
      </c>
      <c r="R55" s="10">
        <f t="shared" si="54"/>
        <v>381.47679938297875</v>
      </c>
      <c r="S55" s="9">
        <f t="shared" si="55"/>
        <v>4.5748512677500006</v>
      </c>
      <c r="T55" s="9">
        <f>T56-0.35</f>
        <v>9.4</v>
      </c>
    </row>
    <row r="56" spans="2:20" ht="13.5" thickBot="1" x14ac:dyDescent="0.25">
      <c r="B56" s="24">
        <f>Conventional!$B$8</f>
        <v>0.7</v>
      </c>
      <c r="C56" s="19">
        <f t="shared" si="44"/>
        <v>404.94814471115421</v>
      </c>
      <c r="D56" s="18">
        <f t="shared" si="45"/>
        <v>4.8506395753560616</v>
      </c>
      <c r="E56" s="18">
        <f t="shared" si="46"/>
        <v>10.319294358686872</v>
      </c>
      <c r="G56" s="20">
        <f t="shared" si="47"/>
        <v>0.69030988327398968</v>
      </c>
      <c r="H56" s="22">
        <f>Conventional!$D$8</f>
        <v>400</v>
      </c>
      <c r="I56" s="20">
        <f t="shared" si="48"/>
        <v>4.7924988749999997</v>
      </c>
      <c r="J56" s="20">
        <f t="shared" si="49"/>
        <v>10.125492024166666</v>
      </c>
      <c r="L56" s="17">
        <f t="shared" si="50"/>
        <v>0.59989340410732306</v>
      </c>
      <c r="M56" s="14">
        <f t="shared" si="51"/>
        <v>353.82988297872345</v>
      </c>
      <c r="N56" s="15">
        <f>Conventional!$F$8</f>
        <v>4.25</v>
      </c>
      <c r="O56" s="13">
        <f t="shared" si="52"/>
        <v>8.3171624408333322</v>
      </c>
      <c r="Q56" s="36">
        <f t="shared" si="53"/>
        <v>0.67153528206565649</v>
      </c>
      <c r="R56" s="10">
        <f t="shared" si="54"/>
        <v>390.41296959574476</v>
      </c>
      <c r="S56" s="9">
        <f t="shared" si="55"/>
        <v>4.6798512677500002</v>
      </c>
      <c r="T56" s="11">
        <f>Conventional!$H$8</f>
        <v>9.75</v>
      </c>
    </row>
    <row r="57" spans="2:20" x14ac:dyDescent="0.2">
      <c r="B57" s="18">
        <f>B56+0.025</f>
        <v>0.72499999999999998</v>
      </c>
      <c r="C57" s="19">
        <f t="shared" si="44"/>
        <v>417.71410215796266</v>
      </c>
      <c r="D57" s="18">
        <f t="shared" si="45"/>
        <v>5.000639575356062</v>
      </c>
      <c r="E57" s="18">
        <f t="shared" si="46"/>
        <v>10.819294358686872</v>
      </c>
      <c r="G57" s="20">
        <f t="shared" si="47"/>
        <v>0.70989321660732307</v>
      </c>
      <c r="H57" s="21">
        <f>H56+10</f>
        <v>410</v>
      </c>
      <c r="I57" s="20">
        <f t="shared" si="48"/>
        <v>4.9099988750000003</v>
      </c>
      <c r="J57" s="20">
        <f t="shared" si="49"/>
        <v>10.517158690833332</v>
      </c>
      <c r="L57" s="17">
        <f t="shared" si="50"/>
        <v>0.62489340410732319</v>
      </c>
      <c r="M57" s="14">
        <f t="shared" si="51"/>
        <v>366.59584042553195</v>
      </c>
      <c r="N57" s="13">
        <f>N56+0.15</f>
        <v>4.4000000000000004</v>
      </c>
      <c r="O57" s="13">
        <f t="shared" si="52"/>
        <v>8.817162440833334</v>
      </c>
      <c r="Q57" s="36">
        <f t="shared" si="53"/>
        <v>0.68903528206565645</v>
      </c>
      <c r="R57" s="10">
        <f t="shared" si="54"/>
        <v>399.34913980851064</v>
      </c>
      <c r="S57" s="9">
        <f t="shared" si="55"/>
        <v>4.7848512677500006</v>
      </c>
      <c r="T57" s="9">
        <f>T56+0.35</f>
        <v>10.1</v>
      </c>
    </row>
    <row r="58" spans="2:20" x14ac:dyDescent="0.2">
      <c r="B58" s="18">
        <f t="shared" ref="B58:B63" si="56">B57+0.025</f>
        <v>0.75</v>
      </c>
      <c r="C58" s="19">
        <f t="shared" si="44"/>
        <v>430.48005960477121</v>
      </c>
      <c r="D58" s="18">
        <f t="shared" si="45"/>
        <v>5.1506395753560614</v>
      </c>
      <c r="E58" s="18">
        <f t="shared" si="46"/>
        <v>11.319294358686872</v>
      </c>
      <c r="G58" s="20">
        <f t="shared" si="47"/>
        <v>0.72947654994065636</v>
      </c>
      <c r="H58" s="21">
        <f t="shared" ref="H58:H63" si="57">H57+10</f>
        <v>420</v>
      </c>
      <c r="I58" s="20">
        <f t="shared" si="48"/>
        <v>5.027498875</v>
      </c>
      <c r="J58" s="20">
        <f t="shared" si="49"/>
        <v>10.9088253575</v>
      </c>
      <c r="L58" s="17">
        <f t="shared" si="50"/>
        <v>0.6498934041073231</v>
      </c>
      <c r="M58" s="14">
        <f t="shared" si="51"/>
        <v>379.3617978723405</v>
      </c>
      <c r="N58" s="13">
        <f t="shared" ref="N58:N63" si="58">N57+0.15</f>
        <v>4.5500000000000007</v>
      </c>
      <c r="O58" s="13">
        <f t="shared" si="52"/>
        <v>9.317162440833334</v>
      </c>
      <c r="Q58" s="36">
        <f t="shared" si="53"/>
        <v>0.70653528206565641</v>
      </c>
      <c r="R58" s="10">
        <f t="shared" si="54"/>
        <v>408.28531002127659</v>
      </c>
      <c r="S58" s="9">
        <f t="shared" si="55"/>
        <v>4.8898512677500001</v>
      </c>
      <c r="T58" s="9">
        <f t="shared" ref="T58:T63" si="59">T57+0.35</f>
        <v>10.45</v>
      </c>
    </row>
    <row r="59" spans="2:20" x14ac:dyDescent="0.2">
      <c r="B59" s="18">
        <f t="shared" si="56"/>
        <v>0.77500000000000002</v>
      </c>
      <c r="C59" s="19">
        <f t="shared" si="44"/>
        <v>443.24601705157971</v>
      </c>
      <c r="D59" s="18">
        <f t="shared" si="45"/>
        <v>5.3006395753560618</v>
      </c>
      <c r="E59" s="18">
        <f t="shared" si="46"/>
        <v>11.819294358686872</v>
      </c>
      <c r="G59" s="20">
        <f t="shared" si="47"/>
        <v>0.74905988327398976</v>
      </c>
      <c r="H59" s="21">
        <f t="shared" si="57"/>
        <v>430</v>
      </c>
      <c r="I59" s="20">
        <f t="shared" si="48"/>
        <v>5.1449988749999997</v>
      </c>
      <c r="J59" s="20">
        <f t="shared" si="49"/>
        <v>11.300492024166665</v>
      </c>
      <c r="L59" s="17">
        <f t="shared" si="50"/>
        <v>0.67489340410732324</v>
      </c>
      <c r="M59" s="14">
        <f t="shared" si="51"/>
        <v>392.127755319149</v>
      </c>
      <c r="N59" s="13">
        <f t="shared" si="58"/>
        <v>4.7000000000000011</v>
      </c>
      <c r="O59" s="13">
        <f t="shared" si="52"/>
        <v>9.8171624408333358</v>
      </c>
      <c r="Q59" s="36">
        <f t="shared" si="53"/>
        <v>0.72403528206565637</v>
      </c>
      <c r="R59" s="10">
        <f t="shared" si="54"/>
        <v>417.22148023404253</v>
      </c>
      <c r="S59" s="9">
        <f t="shared" si="55"/>
        <v>4.9948512677499997</v>
      </c>
      <c r="T59" s="9">
        <f t="shared" si="59"/>
        <v>10.799999999999999</v>
      </c>
    </row>
    <row r="60" spans="2:20" x14ac:dyDescent="0.2">
      <c r="B60" s="18">
        <f t="shared" si="56"/>
        <v>0.8</v>
      </c>
      <c r="C60" s="19">
        <f t="shared" si="44"/>
        <v>456.01197449838821</v>
      </c>
      <c r="D60" s="18">
        <f t="shared" si="45"/>
        <v>5.4506395753560613</v>
      </c>
      <c r="E60" s="18">
        <f t="shared" si="46"/>
        <v>12.319294358686872</v>
      </c>
      <c r="G60" s="20">
        <f t="shared" si="47"/>
        <v>0.76864321660732304</v>
      </c>
      <c r="H60" s="21">
        <f t="shared" si="57"/>
        <v>440</v>
      </c>
      <c r="I60" s="20">
        <f t="shared" si="48"/>
        <v>5.2624988750000004</v>
      </c>
      <c r="J60" s="20">
        <f t="shared" si="49"/>
        <v>11.692158690833333</v>
      </c>
      <c r="L60" s="17">
        <f t="shared" si="50"/>
        <v>0.69989340410732326</v>
      </c>
      <c r="M60" s="14">
        <f t="shared" si="51"/>
        <v>404.89371276595756</v>
      </c>
      <c r="N60" s="13">
        <f t="shared" si="58"/>
        <v>4.8500000000000014</v>
      </c>
      <c r="O60" s="13">
        <f t="shared" si="52"/>
        <v>10.317162440833336</v>
      </c>
      <c r="Q60" s="36">
        <f t="shared" si="53"/>
        <v>0.74153528206565633</v>
      </c>
      <c r="R60" s="10">
        <f t="shared" si="54"/>
        <v>426.15765044680847</v>
      </c>
      <c r="S60" s="9">
        <f t="shared" si="55"/>
        <v>5.0998512677500001</v>
      </c>
      <c r="T60" s="9">
        <f t="shared" si="59"/>
        <v>11.149999999999999</v>
      </c>
    </row>
    <row r="61" spans="2:20" x14ac:dyDescent="0.2">
      <c r="B61" s="18">
        <f t="shared" si="56"/>
        <v>0.82500000000000007</v>
      </c>
      <c r="C61" s="19">
        <f t="shared" si="44"/>
        <v>468.77793194519671</v>
      </c>
      <c r="D61" s="18">
        <f t="shared" si="45"/>
        <v>5.6006395753560625</v>
      </c>
      <c r="E61" s="18">
        <f t="shared" si="46"/>
        <v>12.819294358686873</v>
      </c>
      <c r="G61" s="20">
        <f t="shared" si="47"/>
        <v>0.78822654994065644</v>
      </c>
      <c r="H61" s="21">
        <f t="shared" si="57"/>
        <v>450</v>
      </c>
      <c r="I61" s="20">
        <f t="shared" si="48"/>
        <v>5.3799988750000001</v>
      </c>
      <c r="J61" s="20">
        <f t="shared" si="49"/>
        <v>12.083825357499999</v>
      </c>
      <c r="L61" s="17">
        <f t="shared" si="50"/>
        <v>0.72489340410732339</v>
      </c>
      <c r="M61" s="14">
        <f t="shared" si="51"/>
        <v>417.65967021276612</v>
      </c>
      <c r="N61" s="13">
        <f t="shared" si="58"/>
        <v>5.0000000000000018</v>
      </c>
      <c r="O61" s="13">
        <f t="shared" si="52"/>
        <v>10.817162440833338</v>
      </c>
      <c r="Q61" s="36">
        <f t="shared" si="53"/>
        <v>0.75903528206565629</v>
      </c>
      <c r="R61" s="10">
        <f t="shared" si="54"/>
        <v>435.09382065957442</v>
      </c>
      <c r="S61" s="9">
        <f t="shared" si="55"/>
        <v>5.2048512677500005</v>
      </c>
      <c r="T61" s="9">
        <f t="shared" si="59"/>
        <v>11.499999999999998</v>
      </c>
    </row>
    <row r="62" spans="2:20" x14ac:dyDescent="0.2">
      <c r="B62" s="18">
        <f t="shared" si="56"/>
        <v>0.85000000000000009</v>
      </c>
      <c r="C62" s="19">
        <f t="shared" si="44"/>
        <v>481.54388939200527</v>
      </c>
      <c r="D62" s="18">
        <f t="shared" si="45"/>
        <v>5.7506395753560628</v>
      </c>
      <c r="E62" s="18">
        <f t="shared" si="46"/>
        <v>13.319294358686873</v>
      </c>
      <c r="G62" s="20">
        <f t="shared" si="47"/>
        <v>0.80780988327398973</v>
      </c>
      <c r="H62" s="21">
        <f t="shared" si="57"/>
        <v>460</v>
      </c>
      <c r="I62" s="20">
        <f t="shared" si="48"/>
        <v>5.4974988749999998</v>
      </c>
      <c r="J62" s="20">
        <f t="shared" si="49"/>
        <v>12.475492024166666</v>
      </c>
      <c r="L62" s="17">
        <f t="shared" si="50"/>
        <v>0.74989340410732341</v>
      </c>
      <c r="M62" s="14">
        <f t="shared" si="51"/>
        <v>430.42562765957467</v>
      </c>
      <c r="N62" s="13">
        <f t="shared" si="58"/>
        <v>5.1500000000000021</v>
      </c>
      <c r="O62" s="13">
        <f t="shared" si="52"/>
        <v>11.317162440833339</v>
      </c>
      <c r="Q62" s="36">
        <f t="shared" si="53"/>
        <v>0.77653528206565636</v>
      </c>
      <c r="R62" s="10">
        <f t="shared" si="54"/>
        <v>444.02999087234036</v>
      </c>
      <c r="S62" s="9">
        <f t="shared" si="55"/>
        <v>5.30985126775</v>
      </c>
      <c r="T62" s="9">
        <f t="shared" si="59"/>
        <v>11.849999999999998</v>
      </c>
    </row>
    <row r="63" spans="2:20" x14ac:dyDescent="0.2">
      <c r="B63" s="18">
        <f t="shared" si="56"/>
        <v>0.87500000000000011</v>
      </c>
      <c r="C63" s="19">
        <f t="shared" si="44"/>
        <v>494.30984683881383</v>
      </c>
      <c r="D63" s="18">
        <f t="shared" si="45"/>
        <v>5.9006395753560632</v>
      </c>
      <c r="E63" s="18">
        <f t="shared" si="46"/>
        <v>13.819294358686875</v>
      </c>
      <c r="G63" s="20">
        <f t="shared" si="47"/>
        <v>0.82739321660732301</v>
      </c>
      <c r="H63" s="21">
        <f t="shared" si="57"/>
        <v>470</v>
      </c>
      <c r="I63" s="20">
        <f t="shared" si="48"/>
        <v>5.6149988750000004</v>
      </c>
      <c r="J63" s="20">
        <f t="shared" si="49"/>
        <v>12.867158690833332</v>
      </c>
      <c r="L63" s="17">
        <f t="shared" si="50"/>
        <v>0.77489340410732344</v>
      </c>
      <c r="M63" s="14">
        <f t="shared" si="51"/>
        <v>443.19158510638317</v>
      </c>
      <c r="N63" s="13">
        <f t="shared" si="58"/>
        <v>5.3000000000000025</v>
      </c>
      <c r="O63" s="13">
        <f t="shared" si="52"/>
        <v>11.817162440833339</v>
      </c>
      <c r="Q63" s="36">
        <f t="shared" si="53"/>
        <v>0.79403528206565632</v>
      </c>
      <c r="R63" s="10">
        <f t="shared" si="54"/>
        <v>452.96616108510631</v>
      </c>
      <c r="S63" s="9">
        <f t="shared" si="55"/>
        <v>5.4148512677500005</v>
      </c>
      <c r="T63" s="9">
        <f t="shared" si="59"/>
        <v>12.199999999999998</v>
      </c>
    </row>
    <row r="64" spans="2:20" x14ac:dyDescent="0.2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2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2">
      <c r="A66" s="1" t="s">
        <v>72</v>
      </c>
      <c r="B66" s="57">
        <f>'Strip-Till'!L$31</f>
        <v>449.83624742424246</v>
      </c>
      <c r="C66" s="57">
        <f>'Strip-Till'!N$31</f>
        <v>559.71387499999992</v>
      </c>
      <c r="D66" s="57">
        <f>'Strip-Till'!P$31</f>
        <v>331.45247896249998</v>
      </c>
      <c r="E66" s="57">
        <f>'Strip-Till'!R$31</f>
        <v>248.13037935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2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2">
      <c r="A68" s="6"/>
      <c r="B68" s="406" t="s">
        <v>74</v>
      </c>
      <c r="C68" s="406"/>
      <c r="D68" s="406"/>
      <c r="E68" s="406"/>
      <c r="F68" s="29"/>
      <c r="G68" s="407" t="s">
        <v>75</v>
      </c>
      <c r="H68" s="407"/>
      <c r="I68" s="407"/>
      <c r="J68" s="407"/>
      <c r="K68" s="29"/>
      <c r="L68" s="408" t="s">
        <v>76</v>
      </c>
      <c r="M68" s="408"/>
      <c r="N68" s="408"/>
      <c r="O68" s="408"/>
      <c r="P68" s="29"/>
      <c r="Q68" s="409" t="s">
        <v>77</v>
      </c>
      <c r="R68" s="409"/>
      <c r="S68" s="409"/>
      <c r="T68" s="409"/>
    </row>
    <row r="69" spans="1:20" ht="38.25" x14ac:dyDescent="0.2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2">
      <c r="B70" s="18">
        <f t="shared" ref="B70:B75" si="60">B71-0.025</f>
        <v>0.5249999999999998</v>
      </c>
      <c r="C70" s="19">
        <f>(((B70*$B$67)-$B$66+$C$66)/$C$67)*2000</f>
        <v>296.25154563279841</v>
      </c>
      <c r="D70" s="18">
        <f>(((B70*$B$67)-$B$66+$D$66)/$D$67)</f>
        <v>3.2396027239794982</v>
      </c>
      <c r="E70" s="18">
        <f>(((B70*$B$67)-$B$66+$E$66)/$E$67)</f>
        <v>6.4014710641919121</v>
      </c>
      <c r="G70" s="20">
        <f>(((H70*$C$67/2000)-$C$66+$B$66)/$B$67)</f>
        <v>0.60149649656565674</v>
      </c>
      <c r="H70" s="21">
        <f t="shared" ref="H70:H75" si="61">H71-10</f>
        <v>330</v>
      </c>
      <c r="I70" s="20">
        <f>(((H70*$C$67/2000)-$C$66+$D$66)/$D$67)</f>
        <v>3.9145718113235302</v>
      </c>
      <c r="J70" s="20">
        <f>(((H70*$C$67/2000)-$C$66+$E$66)/$E$67)</f>
        <v>8.3138834783333362</v>
      </c>
      <c r="L70" s="17">
        <f>(((N70*$D$67)-$D$66+$B$66)/$B$67)</f>
        <v>0.52051169128232333</v>
      </c>
      <c r="M70" s="14">
        <f>(((N70*$D$67)-$D$66+$C$66)/$C$67)*2000</f>
        <v>294.27140943382352</v>
      </c>
      <c r="N70" s="13">
        <f t="shared" ref="N70:N75" si="62">N71-0.15</f>
        <v>3.2</v>
      </c>
      <c r="O70" s="13">
        <f>(((N70*$D$67)-$D$66+$E$66)/$E$67)</f>
        <v>6.2892633462500003</v>
      </c>
      <c r="Q70" s="9">
        <f>(((T70*$E$67)-$E$66+$B$66)/$B$67)</f>
        <v>0.56094115743232331</v>
      </c>
      <c r="R70" s="10">
        <f>(((T70*$E$67)-$E$66+$C$66)/$C$67)*2000</f>
        <v>312.10793861764705</v>
      </c>
      <c r="S70" s="9">
        <f>(((T70*$E$67)-$E$66+$D$66)/$D$67)</f>
        <v>3.5567305836764715</v>
      </c>
      <c r="T70" s="9">
        <f t="shared" ref="T70:T75" si="63">T71-0.35</f>
        <v>7.3000000000000025</v>
      </c>
    </row>
    <row r="71" spans="1:20" x14ac:dyDescent="0.2">
      <c r="B71" s="18">
        <f t="shared" si="60"/>
        <v>0.54999999999999982</v>
      </c>
      <c r="C71" s="19">
        <f t="shared" ref="C71:C84" si="64">(((B71*$B$67)-$B$66+$C$66)/$C$67)*2000</f>
        <v>307.28095739750427</v>
      </c>
      <c r="D71" s="18">
        <f t="shared" ref="D71:D84" si="65">(((B71*$B$67)-$B$66+$D$66)/$D$67)</f>
        <v>3.4601909592736164</v>
      </c>
      <c r="E71" s="18">
        <f t="shared" ref="E71:E84" si="66">(((B71*$B$67)-$B$66+$E$66)/$E$67)</f>
        <v>7.0264710641919139</v>
      </c>
      <c r="G71" s="20">
        <f t="shared" ref="G71:G84" si="67">(((H71*$C$67/2000)-$C$66+$B$66)/$B$67)</f>
        <v>0.62416316323232335</v>
      </c>
      <c r="H71" s="21">
        <f t="shared" si="61"/>
        <v>340</v>
      </c>
      <c r="I71" s="20">
        <f t="shared" ref="I71:I84" si="68">(((H71*$C$67/2000)-$C$66+$D$66)/$D$67)</f>
        <v>4.1145718113235299</v>
      </c>
      <c r="J71" s="20">
        <f t="shared" ref="J71:J84" si="69">(((H71*$C$67/2000)-$C$66+$E$66)/$E$67)</f>
        <v>8.8805501450000026</v>
      </c>
      <c r="L71" s="17">
        <f t="shared" ref="L71:L84" si="70">(((N71*$D$67)-$D$66+$B$66)/$B$67)</f>
        <v>0.53751169128232335</v>
      </c>
      <c r="M71" s="14">
        <f t="shared" ref="M71:M84" si="71">(((N71*$D$67)-$D$66+$C$66)/$C$67)*2000</f>
        <v>301.77140943382346</v>
      </c>
      <c r="N71" s="13">
        <f t="shared" si="62"/>
        <v>3.35</v>
      </c>
      <c r="O71" s="13">
        <f t="shared" ref="O71:O84" si="72">(((N71*$D$67)-$D$66+$E$66)/$E$67)</f>
        <v>6.714263346250001</v>
      </c>
      <c r="Q71" s="9">
        <f t="shared" ref="Q71:Q84" si="73">(((T71*$E$67)-$E$66+$B$66)/$B$67)</f>
        <v>0.57494115743232332</v>
      </c>
      <c r="R71" s="10">
        <f t="shared" ref="R71:R84" si="74">(((T71*$E$67)-$E$66+$C$66)/$C$67)*2000</f>
        <v>318.28440920588235</v>
      </c>
      <c r="S71" s="9">
        <f t="shared" ref="S71:S84" si="75">(((T71*$E$67)-$E$66+$D$66)/$D$67)</f>
        <v>3.680259995441177</v>
      </c>
      <c r="T71" s="9">
        <f t="shared" si="63"/>
        <v>7.6500000000000021</v>
      </c>
    </row>
    <row r="72" spans="1:20" x14ac:dyDescent="0.2">
      <c r="B72" s="18">
        <f t="shared" si="60"/>
        <v>0.57499999999999984</v>
      </c>
      <c r="C72" s="19">
        <f t="shared" si="64"/>
        <v>318.31036916221018</v>
      </c>
      <c r="D72" s="18">
        <f t="shared" si="65"/>
        <v>3.6807791945677342</v>
      </c>
      <c r="E72" s="18">
        <f t="shared" si="66"/>
        <v>7.6514710641919139</v>
      </c>
      <c r="G72" s="20">
        <f t="shared" si="67"/>
        <v>0.64682982989899007</v>
      </c>
      <c r="H72" s="21">
        <f t="shared" si="61"/>
        <v>350</v>
      </c>
      <c r="I72" s="20">
        <f t="shared" si="68"/>
        <v>4.3145718113235301</v>
      </c>
      <c r="J72" s="20">
        <f t="shared" si="69"/>
        <v>9.447216811666669</v>
      </c>
      <c r="L72" s="17">
        <f t="shared" si="70"/>
        <v>0.55451169128232325</v>
      </c>
      <c r="M72" s="14">
        <f t="shared" si="71"/>
        <v>309.27140943382346</v>
      </c>
      <c r="N72" s="13">
        <f t="shared" si="62"/>
        <v>3.5</v>
      </c>
      <c r="O72" s="13">
        <f t="shared" si="72"/>
        <v>7.1392633462500008</v>
      </c>
      <c r="Q72" s="9">
        <f t="shared" si="73"/>
        <v>0.58894115743232334</v>
      </c>
      <c r="R72" s="10">
        <f t="shared" si="74"/>
        <v>324.46087979411766</v>
      </c>
      <c r="S72" s="9">
        <f t="shared" si="75"/>
        <v>3.8037894072058829</v>
      </c>
      <c r="T72" s="9">
        <f t="shared" si="63"/>
        <v>8.0000000000000018</v>
      </c>
    </row>
    <row r="73" spans="1:20" x14ac:dyDescent="0.2">
      <c r="B73" s="18">
        <f t="shared" si="60"/>
        <v>0.59999999999999987</v>
      </c>
      <c r="C73" s="19">
        <f t="shared" si="64"/>
        <v>329.33978092691609</v>
      </c>
      <c r="D73" s="18">
        <f t="shared" si="65"/>
        <v>3.9013674298618519</v>
      </c>
      <c r="E73" s="18">
        <f t="shared" si="66"/>
        <v>8.2764710641919148</v>
      </c>
      <c r="G73" s="20">
        <f t="shared" si="67"/>
        <v>0.66949649656565668</v>
      </c>
      <c r="H73" s="21">
        <f t="shared" si="61"/>
        <v>360</v>
      </c>
      <c r="I73" s="20">
        <f t="shared" si="68"/>
        <v>4.5145718113235302</v>
      </c>
      <c r="J73" s="20">
        <f t="shared" si="69"/>
        <v>10.013883478333335</v>
      </c>
      <c r="L73" s="17">
        <f t="shared" si="70"/>
        <v>0.57151169128232326</v>
      </c>
      <c r="M73" s="14">
        <f t="shared" si="71"/>
        <v>316.77140943382346</v>
      </c>
      <c r="N73" s="13">
        <f t="shared" si="62"/>
        <v>3.65</v>
      </c>
      <c r="O73" s="13">
        <f t="shared" si="72"/>
        <v>7.5642633462500006</v>
      </c>
      <c r="Q73" s="9">
        <f t="shared" si="73"/>
        <v>0.60294115743232335</v>
      </c>
      <c r="R73" s="10">
        <f t="shared" si="74"/>
        <v>330.63735038235296</v>
      </c>
      <c r="S73" s="9">
        <f t="shared" si="75"/>
        <v>3.9273188189705888</v>
      </c>
      <c r="T73" s="9">
        <f t="shared" si="63"/>
        <v>8.3500000000000014</v>
      </c>
    </row>
    <row r="74" spans="1:20" x14ac:dyDescent="0.2">
      <c r="B74" s="18">
        <f t="shared" si="60"/>
        <v>0.62499999999999989</v>
      </c>
      <c r="C74" s="19">
        <f t="shared" si="64"/>
        <v>340.369192691622</v>
      </c>
      <c r="D74" s="18">
        <f t="shared" si="65"/>
        <v>4.1219556651559701</v>
      </c>
      <c r="E74" s="18">
        <f t="shared" si="66"/>
        <v>8.9014710641919166</v>
      </c>
      <c r="G74" s="20">
        <f t="shared" si="67"/>
        <v>0.6921631632323233</v>
      </c>
      <c r="H74" s="21">
        <f t="shared" si="61"/>
        <v>370</v>
      </c>
      <c r="I74" s="20">
        <f t="shared" si="68"/>
        <v>4.7145718113235304</v>
      </c>
      <c r="J74" s="20">
        <f t="shared" si="69"/>
        <v>10.580550145000002</v>
      </c>
      <c r="L74" s="17">
        <f t="shared" si="70"/>
        <v>0.58851169128232328</v>
      </c>
      <c r="M74" s="14">
        <f t="shared" si="71"/>
        <v>324.27140943382346</v>
      </c>
      <c r="N74" s="13">
        <f t="shared" si="62"/>
        <v>3.8</v>
      </c>
      <c r="O74" s="13">
        <f t="shared" si="72"/>
        <v>7.9892633462500005</v>
      </c>
      <c r="Q74" s="9">
        <f t="shared" si="73"/>
        <v>0.61694115743232336</v>
      </c>
      <c r="R74" s="10">
        <f t="shared" si="74"/>
        <v>336.81382097058827</v>
      </c>
      <c r="S74" s="9">
        <f t="shared" si="75"/>
        <v>4.0508482307352942</v>
      </c>
      <c r="T74" s="9">
        <f t="shared" si="63"/>
        <v>8.7000000000000011</v>
      </c>
    </row>
    <row r="75" spans="1:20" x14ac:dyDescent="0.2">
      <c r="B75" s="18">
        <f t="shared" si="60"/>
        <v>0.64999999999999991</v>
      </c>
      <c r="C75" s="19">
        <f t="shared" si="64"/>
        <v>351.39860445632786</v>
      </c>
      <c r="D75" s="18">
        <f t="shared" si="65"/>
        <v>4.3425439004500879</v>
      </c>
      <c r="E75" s="18">
        <f t="shared" si="66"/>
        <v>9.5264710641919166</v>
      </c>
      <c r="G75" s="20">
        <f t="shared" si="67"/>
        <v>0.71482982989899002</v>
      </c>
      <c r="H75" s="21">
        <f t="shared" si="61"/>
        <v>380</v>
      </c>
      <c r="I75" s="20">
        <f t="shared" si="68"/>
        <v>4.9145718113235306</v>
      </c>
      <c r="J75" s="20">
        <f t="shared" si="69"/>
        <v>11.14721681166667</v>
      </c>
      <c r="L75" s="17">
        <f t="shared" si="70"/>
        <v>0.60551169128232329</v>
      </c>
      <c r="M75" s="14">
        <f t="shared" si="71"/>
        <v>331.77140943382352</v>
      </c>
      <c r="N75" s="13">
        <f t="shared" si="62"/>
        <v>3.9499999999999997</v>
      </c>
      <c r="O75" s="13">
        <f t="shared" si="72"/>
        <v>8.4142633462500012</v>
      </c>
      <c r="Q75" s="9">
        <f t="shared" si="73"/>
        <v>0.63094115743232326</v>
      </c>
      <c r="R75" s="10">
        <f t="shared" si="74"/>
        <v>342.99029155882351</v>
      </c>
      <c r="S75" s="9">
        <f t="shared" si="75"/>
        <v>4.1743776424999997</v>
      </c>
      <c r="T75" s="9">
        <f t="shared" si="63"/>
        <v>9.0500000000000007</v>
      </c>
    </row>
    <row r="76" spans="1:20" ht="13.5" thickBot="1" x14ac:dyDescent="0.25">
      <c r="B76" s="18">
        <f>B77-0.025</f>
        <v>0.67499999999999993</v>
      </c>
      <c r="C76" s="19">
        <f t="shared" si="64"/>
        <v>362.42801622103377</v>
      </c>
      <c r="D76" s="18">
        <f t="shared" si="65"/>
        <v>4.5631321357442056</v>
      </c>
      <c r="E76" s="18">
        <f t="shared" si="66"/>
        <v>10.151471064191917</v>
      </c>
      <c r="G76" s="20">
        <f t="shared" si="67"/>
        <v>0.73749649656565663</v>
      </c>
      <c r="H76" s="21">
        <f>H77-10</f>
        <v>390</v>
      </c>
      <c r="I76" s="20">
        <f t="shared" si="68"/>
        <v>5.1145718113235299</v>
      </c>
      <c r="J76" s="20">
        <f t="shared" si="69"/>
        <v>11.713883478333337</v>
      </c>
      <c r="L76" s="17">
        <f t="shared" si="70"/>
        <v>0.6225116912823232</v>
      </c>
      <c r="M76" s="14">
        <f t="shared" si="71"/>
        <v>339.27140943382352</v>
      </c>
      <c r="N76" s="13">
        <f>N77-0.15</f>
        <v>4.0999999999999996</v>
      </c>
      <c r="O76" s="13">
        <f t="shared" si="72"/>
        <v>8.8392633462499983</v>
      </c>
      <c r="Q76" s="9">
        <f t="shared" si="73"/>
        <v>0.64494115743232328</v>
      </c>
      <c r="R76" s="10">
        <f t="shared" si="74"/>
        <v>349.16676214705876</v>
      </c>
      <c r="S76" s="9">
        <f t="shared" si="75"/>
        <v>4.297907054264706</v>
      </c>
      <c r="T76" s="9">
        <f>T77-0.35</f>
        <v>9.4</v>
      </c>
    </row>
    <row r="77" spans="1:20" ht="13.5" thickBot="1" x14ac:dyDescent="0.25">
      <c r="B77" s="24">
        <f>Conventional!$B$8</f>
        <v>0.7</v>
      </c>
      <c r="C77" s="19">
        <f t="shared" si="64"/>
        <v>373.45742798573974</v>
      </c>
      <c r="D77" s="18">
        <f t="shared" si="65"/>
        <v>4.7837203710383234</v>
      </c>
      <c r="E77" s="18">
        <f t="shared" si="66"/>
        <v>10.776471064191918</v>
      </c>
      <c r="G77" s="20">
        <f t="shared" si="67"/>
        <v>0.76016316323232336</v>
      </c>
      <c r="H77" s="22">
        <f>Conventional!$D$8</f>
        <v>400</v>
      </c>
      <c r="I77" s="20">
        <f t="shared" si="68"/>
        <v>5.3145718113235301</v>
      </c>
      <c r="J77" s="20">
        <f t="shared" si="69"/>
        <v>12.280550145000003</v>
      </c>
      <c r="L77" s="17">
        <f t="shared" si="70"/>
        <v>0.63951169128232332</v>
      </c>
      <c r="M77" s="14">
        <f t="shared" si="71"/>
        <v>346.77140943382352</v>
      </c>
      <c r="N77" s="15">
        <f>Conventional!$F$8</f>
        <v>4.25</v>
      </c>
      <c r="O77" s="13">
        <f t="shared" si="72"/>
        <v>9.2642633462500008</v>
      </c>
      <c r="Q77" s="9">
        <f t="shared" si="73"/>
        <v>0.65894115743232329</v>
      </c>
      <c r="R77" s="10">
        <f t="shared" si="74"/>
        <v>355.34323273529407</v>
      </c>
      <c r="S77" s="9">
        <f t="shared" si="75"/>
        <v>4.4214364660294114</v>
      </c>
      <c r="T77" s="11">
        <f>Conventional!$H$8</f>
        <v>9.75</v>
      </c>
    </row>
    <row r="78" spans="1:20" x14ac:dyDescent="0.2">
      <c r="B78" s="18">
        <f>B77+0.025</f>
        <v>0.72499999999999998</v>
      </c>
      <c r="C78" s="19">
        <f t="shared" si="64"/>
        <v>384.4868397504456</v>
      </c>
      <c r="D78" s="18">
        <f t="shared" si="65"/>
        <v>5.0043086063324411</v>
      </c>
      <c r="E78" s="18">
        <f t="shared" si="66"/>
        <v>11.401471064191918</v>
      </c>
      <c r="G78" s="20">
        <f t="shared" si="67"/>
        <v>0.78282982989898997</v>
      </c>
      <c r="H78" s="21">
        <f>H77+10</f>
        <v>410</v>
      </c>
      <c r="I78" s="20">
        <f t="shared" si="68"/>
        <v>5.5145718113235302</v>
      </c>
      <c r="J78" s="20">
        <f t="shared" si="69"/>
        <v>12.847216811666669</v>
      </c>
      <c r="L78" s="17">
        <f t="shared" si="70"/>
        <v>0.65651169128232334</v>
      </c>
      <c r="M78" s="14">
        <f t="shared" si="71"/>
        <v>354.27140943382352</v>
      </c>
      <c r="N78" s="13">
        <f>N77+0.15</f>
        <v>4.4000000000000004</v>
      </c>
      <c r="O78" s="13">
        <f t="shared" si="72"/>
        <v>9.6892633462500033</v>
      </c>
      <c r="Q78" s="9">
        <f t="shared" si="73"/>
        <v>0.6729411574323233</v>
      </c>
      <c r="R78" s="10">
        <f t="shared" si="74"/>
        <v>361.51970332352931</v>
      </c>
      <c r="S78" s="9">
        <f t="shared" si="75"/>
        <v>4.5449658777941178</v>
      </c>
      <c r="T78" s="9">
        <f>T77+0.35</f>
        <v>10.1</v>
      </c>
    </row>
    <row r="79" spans="1:20" x14ac:dyDescent="0.2">
      <c r="B79" s="18">
        <f t="shared" ref="B79:B84" si="76">B78+0.025</f>
        <v>0.75</v>
      </c>
      <c r="C79" s="19">
        <f t="shared" si="64"/>
        <v>395.51625151515145</v>
      </c>
      <c r="D79" s="18">
        <f t="shared" si="65"/>
        <v>5.2248968416265589</v>
      </c>
      <c r="E79" s="18">
        <f t="shared" si="66"/>
        <v>12.026471064191918</v>
      </c>
      <c r="G79" s="20">
        <f t="shared" si="67"/>
        <v>0.80549649656565669</v>
      </c>
      <c r="H79" s="21">
        <f t="shared" ref="H79:H84" si="77">H78+10</f>
        <v>420</v>
      </c>
      <c r="I79" s="20">
        <f t="shared" si="68"/>
        <v>5.7145718113235304</v>
      </c>
      <c r="J79" s="20">
        <f t="shared" si="69"/>
        <v>13.413883478333336</v>
      </c>
      <c r="L79" s="17">
        <f t="shared" si="70"/>
        <v>0.67351169128232335</v>
      </c>
      <c r="M79" s="14">
        <f t="shared" si="71"/>
        <v>361.77140943382346</v>
      </c>
      <c r="N79" s="13">
        <f t="shared" ref="N79:N84" si="78">N78+0.15</f>
        <v>4.5500000000000007</v>
      </c>
      <c r="O79" s="13">
        <f t="shared" si="72"/>
        <v>10.114263346250002</v>
      </c>
      <c r="Q79" s="9">
        <f t="shared" si="73"/>
        <v>0.68694115743232331</v>
      </c>
      <c r="R79" s="10">
        <f t="shared" si="74"/>
        <v>367.69617391176467</v>
      </c>
      <c r="S79" s="9">
        <f t="shared" si="75"/>
        <v>4.6684952895588232</v>
      </c>
      <c r="T79" s="9">
        <f t="shared" ref="T79:T84" si="79">T78+0.35</f>
        <v>10.45</v>
      </c>
    </row>
    <row r="80" spans="1:20" x14ac:dyDescent="0.2">
      <c r="B80" s="18">
        <f t="shared" si="76"/>
        <v>0.77500000000000002</v>
      </c>
      <c r="C80" s="19">
        <f t="shared" si="64"/>
        <v>406.54566327985737</v>
      </c>
      <c r="D80" s="18">
        <f t="shared" si="65"/>
        <v>5.4454850769206766</v>
      </c>
      <c r="E80" s="18">
        <f t="shared" si="66"/>
        <v>12.651471064191918</v>
      </c>
      <c r="G80" s="20">
        <f t="shared" si="67"/>
        <v>0.82816316323232331</v>
      </c>
      <c r="H80" s="21">
        <f t="shared" si="77"/>
        <v>430</v>
      </c>
      <c r="I80" s="20">
        <f t="shared" si="68"/>
        <v>5.9145718113235306</v>
      </c>
      <c r="J80" s="20">
        <f t="shared" si="69"/>
        <v>13.980550145000002</v>
      </c>
      <c r="L80" s="17">
        <f t="shared" si="70"/>
        <v>0.69051169128232348</v>
      </c>
      <c r="M80" s="14">
        <f t="shared" si="71"/>
        <v>369.27140943382358</v>
      </c>
      <c r="N80" s="13">
        <f t="shared" si="78"/>
        <v>4.7000000000000011</v>
      </c>
      <c r="O80" s="13">
        <f t="shared" si="72"/>
        <v>10.539263346250005</v>
      </c>
      <c r="Q80" s="9">
        <f t="shared" si="73"/>
        <v>0.70094115743232321</v>
      </c>
      <c r="R80" s="10">
        <f t="shared" si="74"/>
        <v>373.87264449999992</v>
      </c>
      <c r="S80" s="9">
        <f t="shared" si="75"/>
        <v>4.7920247013235286</v>
      </c>
      <c r="T80" s="9">
        <f t="shared" si="79"/>
        <v>10.799999999999999</v>
      </c>
    </row>
    <row r="81" spans="1:20" x14ac:dyDescent="0.2">
      <c r="B81" s="18">
        <f t="shared" si="76"/>
        <v>0.8</v>
      </c>
      <c r="C81" s="19">
        <f t="shared" si="64"/>
        <v>417.57507504456328</v>
      </c>
      <c r="D81" s="18">
        <f t="shared" si="65"/>
        <v>5.6660733122147944</v>
      </c>
      <c r="E81" s="18">
        <f t="shared" si="66"/>
        <v>13.276471064191918</v>
      </c>
      <c r="G81" s="20">
        <f t="shared" si="67"/>
        <v>0.85082982989899003</v>
      </c>
      <c r="H81" s="21">
        <f t="shared" si="77"/>
        <v>440</v>
      </c>
      <c r="I81" s="20">
        <f t="shared" si="68"/>
        <v>6.1145718113235299</v>
      </c>
      <c r="J81" s="20">
        <f t="shared" si="69"/>
        <v>14.547216811666669</v>
      </c>
      <c r="L81" s="17">
        <f t="shared" si="70"/>
        <v>0.7075116912823235</v>
      </c>
      <c r="M81" s="14">
        <f t="shared" si="71"/>
        <v>376.77140943382352</v>
      </c>
      <c r="N81" s="13">
        <f t="shared" si="78"/>
        <v>4.8500000000000014</v>
      </c>
      <c r="O81" s="13">
        <f t="shared" si="72"/>
        <v>10.964263346250004</v>
      </c>
      <c r="Q81" s="9">
        <f t="shared" si="73"/>
        <v>0.71494115743232323</v>
      </c>
      <c r="R81" s="10">
        <f t="shared" si="74"/>
        <v>380.04911508823517</v>
      </c>
      <c r="S81" s="9">
        <f t="shared" si="75"/>
        <v>4.9155541130882341</v>
      </c>
      <c r="T81" s="9">
        <f t="shared" si="79"/>
        <v>11.149999999999999</v>
      </c>
    </row>
    <row r="82" spans="1:20" x14ac:dyDescent="0.2">
      <c r="B82" s="18">
        <f t="shared" si="76"/>
        <v>0.82500000000000007</v>
      </c>
      <c r="C82" s="19">
        <f t="shared" si="64"/>
        <v>428.60448680926908</v>
      </c>
      <c r="D82" s="18">
        <f t="shared" si="65"/>
        <v>5.8866615475089121</v>
      </c>
      <c r="E82" s="18">
        <f t="shared" si="66"/>
        <v>13.901471064191918</v>
      </c>
      <c r="G82" s="20">
        <f t="shared" si="67"/>
        <v>0.87349649656565664</v>
      </c>
      <c r="H82" s="21">
        <f t="shared" si="77"/>
        <v>450</v>
      </c>
      <c r="I82" s="20">
        <f t="shared" si="68"/>
        <v>6.3145718113235301</v>
      </c>
      <c r="J82" s="20">
        <f t="shared" si="69"/>
        <v>15.113883478333337</v>
      </c>
      <c r="L82" s="17">
        <f t="shared" si="70"/>
        <v>0.72451169128232351</v>
      </c>
      <c r="M82" s="14">
        <f t="shared" si="71"/>
        <v>384.27140943382364</v>
      </c>
      <c r="N82" s="13">
        <f t="shared" si="78"/>
        <v>5.0000000000000018</v>
      </c>
      <c r="O82" s="13">
        <f t="shared" si="72"/>
        <v>11.389263346250006</v>
      </c>
      <c r="Q82" s="9">
        <f t="shared" si="73"/>
        <v>0.72894115743232324</v>
      </c>
      <c r="R82" s="10">
        <f t="shared" si="74"/>
        <v>386.22558567647047</v>
      </c>
      <c r="S82" s="9">
        <f t="shared" si="75"/>
        <v>5.0390835248529404</v>
      </c>
      <c r="T82" s="9">
        <f t="shared" si="79"/>
        <v>11.499999999999998</v>
      </c>
    </row>
    <row r="83" spans="1:20" x14ac:dyDescent="0.2">
      <c r="B83" s="18">
        <f t="shared" si="76"/>
        <v>0.85000000000000009</v>
      </c>
      <c r="C83" s="19">
        <f t="shared" si="64"/>
        <v>439.63389857397499</v>
      </c>
      <c r="D83" s="18">
        <f t="shared" si="65"/>
        <v>6.1072497828030308</v>
      </c>
      <c r="E83" s="18">
        <f t="shared" si="66"/>
        <v>14.526471064191922</v>
      </c>
      <c r="G83" s="20">
        <f t="shared" si="67"/>
        <v>0.89616316323232337</v>
      </c>
      <c r="H83" s="21">
        <f t="shared" si="77"/>
        <v>460</v>
      </c>
      <c r="I83" s="20">
        <f t="shared" si="68"/>
        <v>6.5145718113235302</v>
      </c>
      <c r="J83" s="20">
        <f t="shared" si="69"/>
        <v>15.680550145000003</v>
      </c>
      <c r="L83" s="17">
        <f t="shared" si="70"/>
        <v>0.74151169128232353</v>
      </c>
      <c r="M83" s="14">
        <f t="shared" si="71"/>
        <v>391.77140943382358</v>
      </c>
      <c r="N83" s="13">
        <f t="shared" si="78"/>
        <v>5.1500000000000021</v>
      </c>
      <c r="O83" s="13">
        <f t="shared" si="72"/>
        <v>11.814263346250007</v>
      </c>
      <c r="Q83" s="9">
        <f t="shared" si="73"/>
        <v>0.74294115743232325</v>
      </c>
      <c r="R83" s="10">
        <f t="shared" si="74"/>
        <v>392.40205626470578</v>
      </c>
      <c r="S83" s="9">
        <f t="shared" si="75"/>
        <v>5.1626129366176459</v>
      </c>
      <c r="T83" s="9">
        <f t="shared" si="79"/>
        <v>11.849999999999998</v>
      </c>
    </row>
    <row r="84" spans="1:20" x14ac:dyDescent="0.2">
      <c r="A84" s="46"/>
      <c r="B84" s="47">
        <f t="shared" si="76"/>
        <v>0.87500000000000011</v>
      </c>
      <c r="C84" s="48">
        <f t="shared" si="64"/>
        <v>450.6633103386809</v>
      </c>
      <c r="D84" s="47">
        <f t="shared" si="65"/>
        <v>6.3278380180971476</v>
      </c>
      <c r="E84" s="47">
        <f t="shared" si="66"/>
        <v>15.151471064191922</v>
      </c>
      <c r="F84" s="46"/>
      <c r="G84" s="49">
        <f t="shared" si="67"/>
        <v>0.91882982989898998</v>
      </c>
      <c r="H84" s="50">
        <f t="shared" si="77"/>
        <v>470</v>
      </c>
      <c r="I84" s="49">
        <f t="shared" si="68"/>
        <v>6.7145718113235304</v>
      </c>
      <c r="J84" s="49">
        <f t="shared" si="69"/>
        <v>16.247216811666668</v>
      </c>
      <c r="K84" s="46"/>
      <c r="L84" s="51">
        <f t="shared" si="70"/>
        <v>0.75851169128232354</v>
      </c>
      <c r="M84" s="52">
        <f t="shared" si="71"/>
        <v>399.27140943382364</v>
      </c>
      <c r="N84" s="53">
        <f t="shared" si="78"/>
        <v>5.3000000000000025</v>
      </c>
      <c r="O84" s="53">
        <f t="shared" si="72"/>
        <v>12.239263346250008</v>
      </c>
      <c r="P84" s="46"/>
      <c r="Q84" s="54">
        <f t="shared" si="73"/>
        <v>0.75694115743232315</v>
      </c>
      <c r="R84" s="55">
        <f t="shared" si="74"/>
        <v>398.57852685294102</v>
      </c>
      <c r="S84" s="54">
        <f t="shared" si="75"/>
        <v>5.2861423483823522</v>
      </c>
      <c r="T84" s="54">
        <f t="shared" si="79"/>
        <v>12.199999999999998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 r:id="rId1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U64"/>
  <sheetViews>
    <sheetView topLeftCell="A9" zoomScale="205" zoomScaleNormal="205" workbookViewId="0">
      <selection activeCell="B28" sqref="B28"/>
    </sheetView>
  </sheetViews>
  <sheetFormatPr defaultRowHeight="12.75" x14ac:dyDescent="0.2"/>
  <cols>
    <col min="1" max="1" width="32.140625" style="217" bestFit="1" customWidth="1"/>
    <col min="2" max="2" width="22" style="217" bestFit="1" customWidth="1"/>
    <col min="3" max="3" width="16.7109375" style="216" customWidth="1"/>
    <col min="4" max="8" width="9.140625" style="216"/>
    <col min="9" max="9" width="12.140625" style="216" customWidth="1"/>
    <col min="10" max="21" width="9.140625" style="216"/>
    <col min="22" max="16384" width="9.140625" style="217"/>
  </cols>
  <sheetData>
    <row r="1" spans="1:9" hidden="1" x14ac:dyDescent="0.2">
      <c r="A1" s="411" t="s">
        <v>143</v>
      </c>
      <c r="B1" s="411"/>
    </row>
    <row r="2" spans="1:9" hidden="1" x14ac:dyDescent="0.2">
      <c r="A2" s="59" t="s">
        <v>145</v>
      </c>
      <c r="B2" s="218">
        <v>420000</v>
      </c>
    </row>
    <row r="3" spans="1:9" hidden="1" x14ac:dyDescent="0.2">
      <c r="A3" s="59" t="s">
        <v>144</v>
      </c>
      <c r="B3" s="219">
        <v>0.25</v>
      </c>
    </row>
    <row r="4" spans="1:9" hidden="1" x14ac:dyDescent="0.2">
      <c r="A4" s="59" t="s">
        <v>146</v>
      </c>
      <c r="B4" s="220">
        <f>B2*B3</f>
        <v>105000</v>
      </c>
    </row>
    <row r="5" spans="1:9" hidden="1" x14ac:dyDescent="0.2">
      <c r="A5" s="59" t="s">
        <v>147</v>
      </c>
      <c r="B5" s="221">
        <v>100</v>
      </c>
    </row>
    <row r="6" spans="1:9" hidden="1" x14ac:dyDescent="0.2">
      <c r="A6" s="59" t="s">
        <v>134</v>
      </c>
      <c r="B6" s="221">
        <f>B4/B5</f>
        <v>1050</v>
      </c>
    </row>
    <row r="7" spans="1:9" hidden="1" x14ac:dyDescent="0.2">
      <c r="A7" s="59"/>
      <c r="B7" s="221"/>
    </row>
    <row r="8" spans="1:9" hidden="1" x14ac:dyDescent="0.2">
      <c r="A8" s="216"/>
      <c r="B8" s="221"/>
    </row>
    <row r="9" spans="1:9" x14ac:dyDescent="0.2">
      <c r="A9" s="414" t="s">
        <v>137</v>
      </c>
      <c r="B9" s="414"/>
    </row>
    <row r="10" spans="1:9" x14ac:dyDescent="0.2">
      <c r="A10" s="222" t="s">
        <v>141</v>
      </c>
      <c r="B10" s="223">
        <v>4700</v>
      </c>
      <c r="D10" s="413" t="s">
        <v>148</v>
      </c>
      <c r="E10" s="413"/>
      <c r="F10" s="413"/>
      <c r="G10" s="413"/>
      <c r="H10" s="413"/>
      <c r="I10" s="413"/>
    </row>
    <row r="11" spans="1:9" x14ac:dyDescent="0.2">
      <c r="A11" s="224" t="s">
        <v>134</v>
      </c>
      <c r="B11" s="224" t="s">
        <v>135</v>
      </c>
    </row>
    <row r="12" spans="1:9" x14ac:dyDescent="0.2">
      <c r="A12" s="225">
        <v>1000</v>
      </c>
      <c r="B12" s="226">
        <v>400</v>
      </c>
      <c r="D12" s="413" t="s">
        <v>149</v>
      </c>
      <c r="E12" s="413"/>
      <c r="F12" s="413"/>
      <c r="G12" s="413"/>
      <c r="H12" s="413"/>
      <c r="I12" s="413"/>
    </row>
    <row r="13" spans="1:9" x14ac:dyDescent="0.2">
      <c r="A13" s="227">
        <v>1000</v>
      </c>
      <c r="B13" s="228">
        <v>400</v>
      </c>
      <c r="D13" s="413"/>
      <c r="E13" s="413"/>
      <c r="F13" s="413"/>
      <c r="G13" s="413"/>
      <c r="H13" s="413"/>
      <c r="I13" s="413"/>
    </row>
    <row r="14" spans="1:9" x14ac:dyDescent="0.2">
      <c r="A14" s="229">
        <v>0</v>
      </c>
      <c r="B14" s="230"/>
      <c r="D14" s="413"/>
      <c r="E14" s="413"/>
      <c r="F14" s="413"/>
      <c r="G14" s="413"/>
      <c r="H14" s="413"/>
      <c r="I14" s="413"/>
    </row>
    <row r="15" spans="1:9" ht="25.5" x14ac:dyDescent="0.2">
      <c r="A15" s="231" t="s">
        <v>133</v>
      </c>
      <c r="B15" s="232" t="s">
        <v>136</v>
      </c>
    </row>
    <row r="16" spans="1:9" x14ac:dyDescent="0.2">
      <c r="A16" s="233">
        <f>B10-(SUM('Peanut Price Calculator'!A12:A14))</f>
        <v>2700</v>
      </c>
      <c r="B16" s="234">
        <v>400</v>
      </c>
      <c r="D16" s="413" t="s">
        <v>150</v>
      </c>
      <c r="E16" s="413"/>
      <c r="F16" s="413"/>
      <c r="G16" s="413"/>
      <c r="H16" s="413"/>
      <c r="I16" s="413"/>
    </row>
    <row r="17" spans="1:9" x14ac:dyDescent="0.2">
      <c r="A17" s="235" t="s">
        <v>139</v>
      </c>
      <c r="B17" s="236">
        <f>(A12/(SUM(A12:A14,A16:A16))*B12+A13/(SUM(A12:A14,A16:A16))*B13+A14/(SUM(A12:A14,A16:A16))*B14+A16/(SUM(A12:A14,A16:A16))*B16)</f>
        <v>400</v>
      </c>
    </row>
    <row r="18" spans="1:9" x14ac:dyDescent="0.2">
      <c r="A18" s="237"/>
      <c r="B18" s="238"/>
    </row>
    <row r="19" spans="1:9" s="216" customFormat="1" x14ac:dyDescent="0.2"/>
    <row r="20" spans="1:9" s="216" customFormat="1" x14ac:dyDescent="0.2">
      <c r="A20" s="412" t="s">
        <v>140</v>
      </c>
      <c r="B20" s="412"/>
    </row>
    <row r="21" spans="1:9" s="216" customFormat="1" x14ac:dyDescent="0.2">
      <c r="A21" s="222" t="s">
        <v>142</v>
      </c>
      <c r="B21" s="239">
        <v>3400</v>
      </c>
      <c r="D21" s="413" t="s">
        <v>151</v>
      </c>
      <c r="E21" s="413"/>
      <c r="F21" s="413"/>
      <c r="G21" s="413"/>
      <c r="H21" s="413"/>
      <c r="I21" s="413"/>
    </row>
    <row r="22" spans="1:9" s="216" customFormat="1" x14ac:dyDescent="0.2">
      <c r="A22" s="224" t="s">
        <v>134</v>
      </c>
      <c r="B22" s="224" t="s">
        <v>135</v>
      </c>
    </row>
    <row r="23" spans="1:9" s="216" customFormat="1" x14ac:dyDescent="0.2">
      <c r="A23" s="240">
        <v>1000</v>
      </c>
      <c r="B23" s="241">
        <v>400</v>
      </c>
      <c r="D23" s="413" t="s">
        <v>152</v>
      </c>
      <c r="E23" s="413"/>
      <c r="F23" s="413"/>
      <c r="G23" s="413"/>
      <c r="H23" s="413"/>
      <c r="I23" s="413"/>
    </row>
    <row r="24" spans="1:9" s="216" customFormat="1" x14ac:dyDescent="0.2">
      <c r="A24" s="242">
        <v>500</v>
      </c>
      <c r="B24" s="243">
        <v>400</v>
      </c>
      <c r="D24" s="413"/>
      <c r="E24" s="413"/>
      <c r="F24" s="413"/>
      <c r="G24" s="413"/>
      <c r="H24" s="413"/>
      <c r="I24" s="413"/>
    </row>
    <row r="25" spans="1:9" s="216" customFormat="1" x14ac:dyDescent="0.2">
      <c r="A25" s="244">
        <v>0</v>
      </c>
      <c r="B25" s="245"/>
      <c r="D25" s="413"/>
      <c r="E25" s="413"/>
      <c r="F25" s="413"/>
      <c r="G25" s="413"/>
      <c r="H25" s="413"/>
      <c r="I25" s="413"/>
    </row>
    <row r="26" spans="1:9" s="216" customFormat="1" ht="25.5" x14ac:dyDescent="0.2">
      <c r="A26" s="231" t="s">
        <v>133</v>
      </c>
      <c r="B26" s="232" t="s">
        <v>136</v>
      </c>
    </row>
    <row r="27" spans="1:9" s="216" customFormat="1" ht="15.75" customHeight="1" x14ac:dyDescent="0.2">
      <c r="A27" s="233">
        <f>B21-(SUM('Peanut Price Calculator'!A23:A25))</f>
        <v>1900</v>
      </c>
      <c r="B27" s="246">
        <v>400</v>
      </c>
      <c r="D27" s="410" t="s">
        <v>153</v>
      </c>
      <c r="E27" s="410"/>
      <c r="F27" s="410"/>
      <c r="G27" s="410"/>
      <c r="H27" s="410"/>
      <c r="I27" s="410"/>
    </row>
    <row r="28" spans="1:9" s="216" customFormat="1" x14ac:dyDescent="0.2">
      <c r="A28" s="235" t="s">
        <v>138</v>
      </c>
      <c r="B28" s="236">
        <f>(A23/(SUM(A23:A25,A27:A27))*B23+A24/(SUM(A23:A25,A27:A27))*B24+A25/(SUM(A23:A25,A27:A27))*B25+A27/(SUM(A23:A25,A27:A27))*B27)</f>
        <v>400</v>
      </c>
      <c r="D28" s="410"/>
      <c r="E28" s="410"/>
      <c r="F28" s="410"/>
      <c r="G28" s="410"/>
      <c r="H28" s="410"/>
      <c r="I28" s="410"/>
    </row>
    <row r="29" spans="1:9" s="216" customFormat="1" x14ac:dyDescent="0.2"/>
    <row r="30" spans="1:9" s="216" customFormat="1" x14ac:dyDescent="0.2"/>
    <row r="31" spans="1:9" s="216" customFormat="1" x14ac:dyDescent="0.2"/>
    <row r="32" spans="1:9" s="216" customFormat="1" x14ac:dyDescent="0.2"/>
    <row r="33" s="216" customFormat="1" x14ac:dyDescent="0.2"/>
    <row r="34" s="216" customFormat="1" x14ac:dyDescent="0.2"/>
    <row r="35" s="216" customFormat="1" x14ac:dyDescent="0.2"/>
    <row r="36" s="216" customFormat="1" x14ac:dyDescent="0.2"/>
    <row r="37" s="216" customFormat="1" x14ac:dyDescent="0.2"/>
    <row r="38" s="216" customFormat="1" x14ac:dyDescent="0.2"/>
    <row r="39" s="216" customFormat="1" x14ac:dyDescent="0.2"/>
    <row r="40" s="216" customFormat="1" x14ac:dyDescent="0.2"/>
    <row r="41" s="216" customFormat="1" x14ac:dyDescent="0.2"/>
    <row r="42" s="216" customFormat="1" x14ac:dyDescent="0.2"/>
    <row r="43" s="216" customFormat="1" x14ac:dyDescent="0.2"/>
    <row r="44" s="216" customFormat="1" x14ac:dyDescent="0.2"/>
    <row r="45" s="216" customFormat="1" x14ac:dyDescent="0.2"/>
    <row r="46" s="216" customFormat="1" x14ac:dyDescent="0.2"/>
    <row r="47" s="216" customFormat="1" x14ac:dyDescent="0.2"/>
    <row r="48" s="216" customFormat="1" x14ac:dyDescent="0.2"/>
    <row r="49" s="216" customFormat="1" x14ac:dyDescent="0.2"/>
    <row r="50" s="216" customFormat="1" x14ac:dyDescent="0.2"/>
    <row r="51" s="216" customFormat="1" x14ac:dyDescent="0.2"/>
    <row r="52" s="216" customFormat="1" x14ac:dyDescent="0.2"/>
    <row r="53" s="216" customFormat="1" x14ac:dyDescent="0.2"/>
    <row r="54" s="216" customFormat="1" x14ac:dyDescent="0.2"/>
    <row r="55" s="216" customFormat="1" x14ac:dyDescent="0.2"/>
    <row r="56" s="216" customFormat="1" x14ac:dyDescent="0.2"/>
    <row r="57" s="216" customFormat="1" x14ac:dyDescent="0.2"/>
    <row r="58" s="216" customFormat="1" x14ac:dyDescent="0.2"/>
    <row r="59" s="216" customFormat="1" x14ac:dyDescent="0.2"/>
    <row r="60" s="216" customFormat="1" x14ac:dyDescent="0.2"/>
    <row r="61" s="216" customFormat="1" x14ac:dyDescent="0.2"/>
    <row r="62" s="216" customFormat="1" x14ac:dyDescent="0.2"/>
    <row r="63" s="216" customFormat="1" x14ac:dyDescent="0.2"/>
    <row r="64" s="216" customFormat="1" x14ac:dyDescent="0.2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ageMargins left="0.7" right="0.7" top="0.75" bottom="0.75" header="0.3" footer="0.3"/>
  <pageSetup scale="97" orientation="landscape" r:id="rId1"/>
  <headerFooter>
    <oddFooter>&amp;LCalculator created by A.R. Smith &amp; N.B. Smith, UGA Extension Economists&amp;C&amp;G&amp;RAg and Applied Economics, 12/2014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6"/>
  <sheetViews>
    <sheetView zoomScale="178" zoomScaleNormal="178" workbookViewId="0">
      <selection activeCell="H16" sqref="H16"/>
    </sheetView>
  </sheetViews>
  <sheetFormatPr defaultRowHeight="12.75" x14ac:dyDescent="0.2"/>
  <cols>
    <col min="1" max="1" width="7.28515625" style="102" customWidth="1"/>
    <col min="2" max="2" width="15.7109375" style="102" bestFit="1" customWidth="1"/>
    <col min="3" max="3" width="6.28515625" style="102" customWidth="1"/>
    <col min="4" max="4" width="15.85546875" style="102" bestFit="1" customWidth="1"/>
    <col min="5" max="5" width="6.28515625" style="102" customWidth="1"/>
    <col min="6" max="6" width="14" style="102" bestFit="1" customWidth="1"/>
    <col min="7" max="7" width="7" style="102" customWidth="1"/>
    <col min="8" max="8" width="15.85546875" style="102" bestFit="1" customWidth="1"/>
    <col min="9" max="9" width="8.5703125" style="102" customWidth="1"/>
    <col min="10" max="21" width="8.85546875" style="194" customWidth="1"/>
    <col min="22" max="16384" width="9.140625" style="102"/>
  </cols>
  <sheetData>
    <row r="1" spans="1:21" ht="30" customHeight="1" x14ac:dyDescent="0.2">
      <c r="A1" s="415" t="s">
        <v>118</v>
      </c>
      <c r="B1" s="416"/>
      <c r="C1" s="416"/>
      <c r="D1" s="416"/>
      <c r="E1" s="416"/>
      <c r="F1" s="416"/>
      <c r="G1" s="416"/>
      <c r="H1" s="416"/>
      <c r="I1" s="417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ht="30" customHeight="1" thickBot="1" x14ac:dyDescent="0.25">
      <c r="A2" s="418" t="s">
        <v>117</v>
      </c>
      <c r="B2" s="419"/>
      <c r="C2" s="419"/>
      <c r="D2" s="419"/>
      <c r="E2" s="419"/>
      <c r="F2" s="419"/>
      <c r="G2" s="419"/>
      <c r="H2" s="419"/>
      <c r="I2" s="420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1" s="204" customFormat="1" ht="30" customHeight="1" thickBot="1" x14ac:dyDescent="0.25">
      <c r="A3" s="195"/>
      <c r="B3" s="196" t="s">
        <v>105</v>
      </c>
      <c r="C3" s="197"/>
      <c r="D3" s="198" t="s">
        <v>108</v>
      </c>
      <c r="E3" s="197"/>
      <c r="F3" s="199" t="s">
        <v>111</v>
      </c>
      <c r="G3" s="197"/>
      <c r="H3" s="200" t="s">
        <v>114</v>
      </c>
      <c r="I3" s="201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  <c r="U3" s="203"/>
    </row>
    <row r="4" spans="1:21" s="209" customFormat="1" ht="13.5" thickBot="1" x14ac:dyDescent="0.25">
      <c r="A4" s="205"/>
      <c r="B4" s="197"/>
      <c r="C4" s="197"/>
      <c r="D4" s="197"/>
      <c r="E4" s="197"/>
      <c r="F4" s="197"/>
      <c r="G4" s="197"/>
      <c r="H4" s="197"/>
      <c r="I4" s="206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8"/>
      <c r="U4" s="208"/>
    </row>
    <row r="5" spans="1:21" s="204" customFormat="1" ht="30" customHeight="1" thickBot="1" x14ac:dyDescent="0.25">
      <c r="A5" s="195"/>
      <c r="B5" s="196" t="s">
        <v>106</v>
      </c>
      <c r="C5" s="197"/>
      <c r="D5" s="198" t="s">
        <v>109</v>
      </c>
      <c r="E5" s="197"/>
      <c r="F5" s="199" t="s">
        <v>112</v>
      </c>
      <c r="G5" s="197"/>
      <c r="H5" s="200" t="s">
        <v>115</v>
      </c>
      <c r="I5" s="201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3"/>
      <c r="U5" s="203"/>
    </row>
    <row r="6" spans="1:21" s="209" customFormat="1" ht="13.5" thickBot="1" x14ac:dyDescent="0.25">
      <c r="A6" s="205"/>
      <c r="B6" s="197"/>
      <c r="C6" s="197"/>
      <c r="D6" s="197"/>
      <c r="E6" s="197"/>
      <c r="F6" s="197"/>
      <c r="G6" s="197"/>
      <c r="H6" s="197"/>
      <c r="I6" s="206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8"/>
      <c r="U6" s="208"/>
    </row>
    <row r="7" spans="1:21" s="204" customFormat="1" ht="30" customHeight="1" thickBot="1" x14ac:dyDescent="0.25">
      <c r="A7" s="195"/>
      <c r="B7" s="196" t="s">
        <v>107</v>
      </c>
      <c r="C7" s="197"/>
      <c r="D7" s="198" t="s">
        <v>110</v>
      </c>
      <c r="E7" s="197"/>
      <c r="F7" s="199" t="s">
        <v>113</v>
      </c>
      <c r="G7" s="197"/>
      <c r="H7" s="200" t="s">
        <v>116</v>
      </c>
      <c r="I7" s="20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3"/>
      <c r="U7" s="203"/>
    </row>
    <row r="8" spans="1:21" ht="30" customHeight="1" thickBot="1" x14ac:dyDescent="0.25">
      <c r="A8" s="210"/>
      <c r="B8" s="211"/>
      <c r="C8" s="211"/>
      <c r="D8" s="211"/>
      <c r="E8" s="211"/>
      <c r="F8" s="211"/>
      <c r="G8" s="211"/>
      <c r="H8" s="211"/>
      <c r="I8" s="212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21" ht="6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21" ht="6.6" customHeight="1" thickBot="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21" ht="30" customHeight="1" x14ac:dyDescent="0.2">
      <c r="A11" s="415" t="s">
        <v>119</v>
      </c>
      <c r="B11" s="416"/>
      <c r="C11" s="416"/>
      <c r="D11" s="416"/>
      <c r="E11" s="416"/>
      <c r="F11" s="416"/>
      <c r="G11" s="416"/>
      <c r="H11" s="416"/>
      <c r="I11" s="417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21" ht="30" customHeight="1" thickBot="1" x14ac:dyDescent="0.25">
      <c r="A12" s="418" t="s">
        <v>117</v>
      </c>
      <c r="B12" s="419"/>
      <c r="C12" s="419"/>
      <c r="D12" s="419"/>
      <c r="E12" s="419"/>
      <c r="F12" s="419"/>
      <c r="G12" s="419"/>
      <c r="H12" s="419"/>
      <c r="I12" s="420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21" s="215" customFormat="1" ht="30" customHeight="1" thickBot="1" x14ac:dyDescent="0.25">
      <c r="A13" s="195"/>
      <c r="B13" s="196" t="s">
        <v>105</v>
      </c>
      <c r="C13" s="197"/>
      <c r="D13" s="198" t="s">
        <v>108</v>
      </c>
      <c r="E13" s="197"/>
      <c r="F13" s="199" t="s">
        <v>111</v>
      </c>
      <c r="G13" s="197"/>
      <c r="H13" s="200" t="s">
        <v>114</v>
      </c>
      <c r="I13" s="201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4"/>
      <c r="U13" s="214"/>
    </row>
    <row r="14" spans="1:21" s="215" customFormat="1" ht="13.5" thickBot="1" x14ac:dyDescent="0.25">
      <c r="A14" s="195"/>
      <c r="B14" s="197"/>
      <c r="C14" s="197"/>
      <c r="D14" s="197"/>
      <c r="E14" s="197"/>
      <c r="F14" s="197"/>
      <c r="G14" s="197"/>
      <c r="H14" s="197"/>
      <c r="I14" s="201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4"/>
      <c r="U14" s="214"/>
    </row>
    <row r="15" spans="1:21" s="215" customFormat="1" ht="30" customHeight="1" thickBot="1" x14ac:dyDescent="0.25">
      <c r="A15" s="195"/>
      <c r="B15" s="196" t="s">
        <v>106</v>
      </c>
      <c r="C15" s="197"/>
      <c r="D15" s="198" t="s">
        <v>109</v>
      </c>
      <c r="E15" s="197"/>
      <c r="F15" s="199" t="s">
        <v>112</v>
      </c>
      <c r="G15" s="197"/>
      <c r="H15" s="200" t="s">
        <v>115</v>
      </c>
      <c r="I15" s="201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4"/>
      <c r="U15" s="214"/>
    </row>
    <row r="16" spans="1:21" s="215" customFormat="1" ht="13.5" thickBot="1" x14ac:dyDescent="0.25">
      <c r="A16" s="195"/>
      <c r="B16" s="197"/>
      <c r="C16" s="197"/>
      <c r="D16" s="197"/>
      <c r="E16" s="197"/>
      <c r="F16" s="197"/>
      <c r="G16" s="197"/>
      <c r="H16" s="197"/>
      <c r="I16" s="201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  <c r="U16" s="214"/>
    </row>
    <row r="17" spans="1:21" s="215" customFormat="1" ht="30" customHeight="1" thickBot="1" x14ac:dyDescent="0.25">
      <c r="A17" s="195"/>
      <c r="B17" s="196" t="s">
        <v>107</v>
      </c>
      <c r="C17" s="197"/>
      <c r="D17" s="198" t="s">
        <v>110</v>
      </c>
      <c r="E17" s="197"/>
      <c r="F17" s="199" t="s">
        <v>113</v>
      </c>
      <c r="G17" s="197"/>
      <c r="H17" s="200" t="s">
        <v>116</v>
      </c>
      <c r="I17" s="201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4"/>
      <c r="U17" s="214"/>
    </row>
    <row r="18" spans="1:21" ht="30" customHeight="1" thickBot="1" x14ac:dyDescent="0.25">
      <c r="A18" s="210"/>
      <c r="B18" s="211"/>
      <c r="C18" s="211"/>
      <c r="D18" s="211"/>
      <c r="E18" s="211"/>
      <c r="F18" s="211"/>
      <c r="G18" s="211"/>
      <c r="H18" s="211"/>
      <c r="I18" s="212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2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2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2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2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2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21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21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2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2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2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21" x14ac:dyDescent="0.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21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2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21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:19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x14ac:dyDescent="0.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x14ac:dyDescent="0.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 x14ac:dyDescent="0.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</sheetData>
  <sheetProtection sheet="1" objects="1" scenarios="1"/>
  <mergeCells count="4">
    <mergeCell ref="A1:I1"/>
    <mergeCell ref="A11:I11"/>
    <mergeCell ref="A2:I2"/>
    <mergeCell ref="A12:I12"/>
  </mergeCells>
  <hyperlinks>
    <hyperlink ref="B7" location="CTillCharts!G97" display="Soybean &amp; Cotton Price Comparison"/>
    <hyperlink ref="B5" location="CTillCharts!G63" display="Corn &amp; Cotton Price Comparison"/>
    <hyperlink ref="B3" location="CTillCharts!G29" display="Peanut &amp; Cotton Price Comparison"/>
    <hyperlink ref="D5" location="CTillCharts!G165" display="Corn &amp; Peanut Price Comparison"/>
    <hyperlink ref="D7" location="CTillCharts!G199" display="Soybean &amp; Peanut Price Comparison"/>
    <hyperlink ref="F3" location="CTillCharts!G233" display="Cotton &amp; Corn Price Comparison"/>
    <hyperlink ref="F5" location="CTillCharts!G267" display="Peanut &amp; Corn Price Comparison"/>
    <hyperlink ref="F7" location="CTillCharts!G301" display="Soybean &amp; Corn Price Comparison"/>
    <hyperlink ref="H3" location="CTillCharts!G334" display="Cotton &amp; Soybean Price Comparison"/>
    <hyperlink ref="H5" location="CTillCharts!G369" display="Peanut &amp; Soybean Price Comparison"/>
    <hyperlink ref="H7" location="CTillCharts!G403" display="Corn &amp; Soybean Price Comparison"/>
    <hyperlink ref="D13" location="STillCharts!G131" display="Cotton &amp; Peanut Price Comparison"/>
    <hyperlink ref="B17" location="STillCharts!G97" display="Soybean &amp; Cotton Price Comparison"/>
    <hyperlink ref="B15" location="STillCharts!G63" display="Corn &amp; Cotton Price Comparison"/>
    <hyperlink ref="B13" location="STillCharts!G29" display="Peanut &amp; Cotton Price Comparison"/>
    <hyperlink ref="D15" location="STillCharts!G165" display="Corn &amp; Peanut Price Comparison"/>
    <hyperlink ref="D17" location="STillCharts!G199" display="Soybean &amp; Peanut Price Comparison"/>
    <hyperlink ref="F13" location="STillCharts!G233" display="Cotton &amp; Corn Price Comparison"/>
    <hyperlink ref="F15" location="STillCharts!G267" display="Peanut &amp; Corn Price Comparison"/>
    <hyperlink ref="F17" location="STillCharts!G301" display="Soybean &amp; Corn Price Comparison"/>
    <hyperlink ref="H13" location="STillCharts!G334" display="Cotton &amp; Soybean Price Comparison"/>
    <hyperlink ref="H15" location="STillCharts!G369" display="Peanut &amp; Soybean Price Comparison"/>
    <hyperlink ref="H17" location="STillCharts!G403" display="Corn &amp; Soybean Price Comparison"/>
    <hyperlink ref="D3" location="CTillCharts!G131" display="Cotton &amp; Peanut Price Comparison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9:M407"/>
  <sheetViews>
    <sheetView zoomScale="179" zoomScaleNormal="179" zoomScaleSheetLayoutView="100" workbookViewId="0"/>
  </sheetViews>
  <sheetFormatPr defaultColWidth="8.85546875" defaultRowHeight="12.75" x14ac:dyDescent="0.2"/>
  <cols>
    <col min="1" max="26" width="8.85546875" style="101"/>
    <col min="27" max="27" width="8.85546875" style="101" customWidth="1"/>
    <col min="28" max="16384" width="8.85546875" style="101"/>
  </cols>
  <sheetData>
    <row r="29" spans="1:11" x14ac:dyDescent="0.2">
      <c r="A29" s="422" t="s">
        <v>93</v>
      </c>
      <c r="B29" s="422"/>
      <c r="C29" s="422"/>
      <c r="D29" s="422"/>
      <c r="E29" s="422"/>
      <c r="F29" s="422"/>
    </row>
    <row r="30" spans="1:11" x14ac:dyDescent="0.2">
      <c r="A30" s="247" t="s">
        <v>86</v>
      </c>
      <c r="B30" s="421" t="s">
        <v>90</v>
      </c>
      <c r="C30" s="421"/>
      <c r="D30" s="421"/>
      <c r="E30" s="421"/>
      <c r="F30" s="421"/>
      <c r="G30" s="421"/>
      <c r="H30" s="421"/>
      <c r="I30" s="421"/>
      <c r="J30" s="421"/>
      <c r="K30" s="421"/>
    </row>
    <row r="31" spans="1:11" x14ac:dyDescent="0.2">
      <c r="A31" s="247" t="s">
        <v>87</v>
      </c>
      <c r="B31" s="421" t="str">
        <f>CONCATENATE("Irrigated peanut yield is ",Conventional!$D$7," lbs. and irrigated cotton yield is ",Conventional!$B$7," lbs.")</f>
        <v>Irrigated peanut yield is 4700 lbs. and irrigated cotton yield is 1200 lbs.</v>
      </c>
      <c r="C31" s="421"/>
      <c r="D31" s="421"/>
      <c r="E31" s="421"/>
      <c r="F31" s="421"/>
      <c r="G31" s="421"/>
      <c r="H31" s="421"/>
      <c r="I31" s="191"/>
      <c r="J31" s="191"/>
      <c r="K31" s="191"/>
    </row>
    <row r="32" spans="1:11" x14ac:dyDescent="0.2">
      <c r="A32" s="247" t="s">
        <v>88</v>
      </c>
      <c r="B32" s="421" t="str">
        <f>CONCATENATE("Non-irrigated peanut yield is ",Conventional!$P$7," lbs. and non-irrigated cotton yield is ",Conventional!$N$7," lbs.")</f>
        <v>Non-irrigated peanut yield is 3400 lbs. and non-irrigated cotton yield is 750 lbs.</v>
      </c>
      <c r="C32" s="421"/>
      <c r="D32" s="421"/>
      <c r="E32" s="421"/>
      <c r="F32" s="421"/>
      <c r="G32" s="421"/>
      <c r="H32" s="421"/>
      <c r="I32" s="421"/>
      <c r="J32" s="191"/>
      <c r="K32" s="191"/>
    </row>
    <row r="33" spans="1:13" x14ac:dyDescent="0.2">
      <c r="A33" s="247" t="s">
        <v>89</v>
      </c>
      <c r="B33" s="421" t="s">
        <v>104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</row>
    <row r="63" spans="1:11" x14ac:dyDescent="0.2">
      <c r="A63" s="421" t="s">
        <v>93</v>
      </c>
      <c r="B63" s="421"/>
      <c r="C63" s="421"/>
      <c r="D63" s="421"/>
      <c r="E63" s="421"/>
      <c r="F63" s="421"/>
    </row>
    <row r="64" spans="1:11" x14ac:dyDescent="0.2">
      <c r="A64" s="247" t="s">
        <v>86</v>
      </c>
      <c r="B64" s="421" t="s">
        <v>91</v>
      </c>
      <c r="C64" s="421"/>
      <c r="D64" s="421"/>
      <c r="E64" s="421"/>
      <c r="F64" s="421"/>
      <c r="G64" s="421"/>
      <c r="H64" s="421"/>
      <c r="I64" s="421"/>
      <c r="J64" s="421"/>
      <c r="K64" s="421"/>
    </row>
    <row r="65" spans="1:13" x14ac:dyDescent="0.2">
      <c r="A65" s="247" t="s">
        <v>87</v>
      </c>
      <c r="B65" s="421" t="str">
        <f>CONCATENATE("Irrigated corn yield is ",Conventional!$F$7," bu. and irrigated cotton yield is ",Conventional!$B$7," lbs.")</f>
        <v>Irrigated corn yield is 200 bu. and irrigated cotton yield is 1200 lbs.</v>
      </c>
      <c r="C65" s="421"/>
      <c r="D65" s="421"/>
      <c r="E65" s="421"/>
      <c r="F65" s="421"/>
      <c r="G65" s="421"/>
      <c r="H65" s="421"/>
      <c r="I65" s="191"/>
      <c r="J65" s="191"/>
      <c r="K65" s="191"/>
    </row>
    <row r="66" spans="1:13" x14ac:dyDescent="0.2">
      <c r="A66" s="247" t="s">
        <v>88</v>
      </c>
      <c r="B66" s="421" t="str">
        <f>CONCATENATE("Non-irrigated corn yield is ",Conventional!$R$7," bu. and non-irrigated cotton yield is ",Conventional!$N$7," lbs.")</f>
        <v>Non-irrigated corn yield is 85 bu. and non-irrigated cotton yield is 750 lbs.</v>
      </c>
      <c r="C66" s="421"/>
      <c r="D66" s="421"/>
      <c r="E66" s="421"/>
      <c r="F66" s="421"/>
      <c r="G66" s="421"/>
      <c r="H66" s="421"/>
      <c r="I66" s="421"/>
      <c r="J66" s="191"/>
      <c r="K66" s="191"/>
    </row>
    <row r="67" spans="1:13" x14ac:dyDescent="0.2">
      <c r="A67" s="247" t="s">
        <v>89</v>
      </c>
      <c r="B67" s="421" t="s">
        <v>104</v>
      </c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</row>
    <row r="97" spans="1:13" x14ac:dyDescent="0.2">
      <c r="A97" s="421" t="s">
        <v>93</v>
      </c>
      <c r="B97" s="421"/>
      <c r="C97" s="421"/>
      <c r="D97" s="421"/>
      <c r="E97" s="421"/>
      <c r="F97" s="421"/>
    </row>
    <row r="98" spans="1:13" x14ac:dyDescent="0.2">
      <c r="A98" s="247" t="s">
        <v>86</v>
      </c>
      <c r="B98" s="421" t="s">
        <v>92</v>
      </c>
      <c r="C98" s="421"/>
      <c r="D98" s="421"/>
      <c r="E98" s="421"/>
      <c r="F98" s="421"/>
      <c r="G98" s="421"/>
      <c r="H98" s="421"/>
      <c r="I98" s="421"/>
      <c r="J98" s="421"/>
      <c r="K98" s="421"/>
      <c r="L98" s="421"/>
    </row>
    <row r="99" spans="1:13" x14ac:dyDescent="0.2">
      <c r="A99" s="247" t="s">
        <v>87</v>
      </c>
      <c r="B99" s="421" t="str">
        <f>CONCATENATE("Irrigated soybean yield is ",Conventional!$H$7," bu. and irrigated cotton yield is ",Conventional!$B$7," lbs.")</f>
        <v>Irrigated soybean yield is 60 bu. and irrigated cotton yield is 1200 lbs.</v>
      </c>
      <c r="C99" s="421"/>
      <c r="D99" s="421"/>
      <c r="E99" s="421"/>
      <c r="F99" s="421"/>
      <c r="G99" s="421"/>
      <c r="H99" s="421"/>
      <c r="I99" s="191"/>
      <c r="J99" s="191"/>
      <c r="K99" s="191"/>
    </row>
    <row r="100" spans="1:13" x14ac:dyDescent="0.2">
      <c r="A100" s="247" t="s">
        <v>88</v>
      </c>
      <c r="B100" s="421" t="str">
        <f>CONCATENATE("Non-irrigated soybean yield is ",Conventional!$T$7," bu. and non-irrigated cotton yield is ",Conventional!$N$7," lbs.")</f>
        <v>Non-irrigated soybean yield is 30 bu. and non-irrigated cotton yield is 750 lbs.</v>
      </c>
      <c r="C100" s="421"/>
      <c r="D100" s="421"/>
      <c r="E100" s="421"/>
      <c r="F100" s="421"/>
      <c r="G100" s="421"/>
      <c r="H100" s="421"/>
      <c r="I100" s="421"/>
      <c r="J100" s="191"/>
      <c r="K100" s="191"/>
    </row>
    <row r="101" spans="1:13" x14ac:dyDescent="0.2">
      <c r="A101" s="247" t="s">
        <v>89</v>
      </c>
      <c r="B101" s="421" t="s">
        <v>104</v>
      </c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</row>
    <row r="131" spans="1:13" x14ac:dyDescent="0.2">
      <c r="A131" s="422" t="s">
        <v>93</v>
      </c>
      <c r="B131" s="422"/>
      <c r="C131" s="422"/>
      <c r="D131" s="422"/>
      <c r="E131" s="422"/>
      <c r="F131" s="422"/>
    </row>
    <row r="132" spans="1:13" x14ac:dyDescent="0.2">
      <c r="A132" s="247" t="s">
        <v>86</v>
      </c>
      <c r="B132" s="421" t="s">
        <v>94</v>
      </c>
      <c r="C132" s="421"/>
      <c r="D132" s="421"/>
      <c r="E132" s="421"/>
      <c r="F132" s="421"/>
      <c r="G132" s="421"/>
      <c r="H132" s="421"/>
      <c r="I132" s="421"/>
      <c r="J132" s="421"/>
      <c r="K132" s="421"/>
    </row>
    <row r="133" spans="1:13" x14ac:dyDescent="0.2">
      <c r="A133" s="247" t="s">
        <v>87</v>
      </c>
      <c r="B133" s="421" t="str">
        <f>CONCATENATE("Irrigated cotton yield is ",Conventional!$B$7," lbs. and irrigated peanut yield is ",Conventional!$D$7," lbs.")</f>
        <v>Irrigated cotton yield is 1200 lbs. and irrigated peanut yield is 4700 lbs.</v>
      </c>
      <c r="C133" s="421"/>
      <c r="D133" s="421"/>
      <c r="E133" s="421"/>
      <c r="F133" s="421"/>
      <c r="G133" s="421"/>
      <c r="H133" s="421"/>
      <c r="I133" s="191"/>
      <c r="J133" s="191"/>
      <c r="K133" s="191"/>
    </row>
    <row r="134" spans="1:13" x14ac:dyDescent="0.2">
      <c r="A134" s="247" t="s">
        <v>88</v>
      </c>
      <c r="B134" s="421" t="str">
        <f>CONCATENATE("Non-irrigated cotton yield is ",Conventional!$N$7," lbs. and non-irrigated peanut yield is ",Conventional!$P$7," lbs.")</f>
        <v>Non-irrigated cotton yield is 750 lbs. and non-irrigated peanut yield is 3400 lbs.</v>
      </c>
      <c r="C134" s="421"/>
      <c r="D134" s="421"/>
      <c r="E134" s="421"/>
      <c r="F134" s="421"/>
      <c r="G134" s="421"/>
      <c r="H134" s="421"/>
      <c r="I134" s="421"/>
      <c r="J134" s="191"/>
      <c r="K134" s="191"/>
    </row>
    <row r="135" spans="1:13" x14ac:dyDescent="0.2">
      <c r="A135" s="247" t="s">
        <v>89</v>
      </c>
      <c r="B135" s="421" t="s">
        <v>104</v>
      </c>
      <c r="C135" s="421"/>
      <c r="D135" s="421"/>
      <c r="E135" s="421"/>
      <c r="F135" s="421"/>
      <c r="G135" s="421"/>
      <c r="H135" s="421"/>
      <c r="I135" s="421"/>
      <c r="J135" s="421"/>
      <c r="K135" s="421"/>
      <c r="L135" s="421"/>
      <c r="M135" s="421"/>
    </row>
    <row r="165" spans="1:13" x14ac:dyDescent="0.2">
      <c r="A165" s="421" t="s">
        <v>93</v>
      </c>
      <c r="B165" s="421"/>
      <c r="C165" s="421"/>
      <c r="D165" s="421"/>
      <c r="E165" s="421"/>
      <c r="F165" s="421"/>
    </row>
    <row r="166" spans="1:13" x14ac:dyDescent="0.2">
      <c r="A166" s="247" t="s">
        <v>86</v>
      </c>
      <c r="B166" s="421" t="s">
        <v>95</v>
      </c>
      <c r="C166" s="421"/>
      <c r="D166" s="421"/>
      <c r="E166" s="421"/>
      <c r="F166" s="421"/>
      <c r="G166" s="421"/>
      <c r="H166" s="421"/>
      <c r="I166" s="421"/>
      <c r="J166" s="421"/>
      <c r="K166" s="421"/>
    </row>
    <row r="167" spans="1:13" x14ac:dyDescent="0.2">
      <c r="A167" s="247" t="s">
        <v>87</v>
      </c>
      <c r="B167" s="421" t="str">
        <f>CONCATENATE("Irrigated corn yield is ",Conventional!$F$7," bu. and irrigated peanut yield is ",Conventional!$D$7," lbs.")</f>
        <v>Irrigated corn yield is 200 bu. and irrigated peanut yield is 4700 lbs.</v>
      </c>
      <c r="C167" s="421"/>
      <c r="D167" s="421"/>
      <c r="E167" s="421"/>
      <c r="F167" s="421"/>
      <c r="G167" s="421"/>
      <c r="H167" s="421"/>
      <c r="I167" s="191"/>
      <c r="J167" s="191"/>
      <c r="K167" s="191"/>
    </row>
    <row r="168" spans="1:13" x14ac:dyDescent="0.2">
      <c r="A168" s="247" t="s">
        <v>88</v>
      </c>
      <c r="B168" s="421" t="str">
        <f>CONCATENATE("Non-irrigated corn yield is ",Conventional!$R$7," bu. and non-irrigated peanut yield is ",Conventional!$P$7," lbs.")</f>
        <v>Non-irrigated corn yield is 85 bu. and non-irrigated peanut yield is 3400 lbs.</v>
      </c>
      <c r="C168" s="421"/>
      <c r="D168" s="421"/>
      <c r="E168" s="421"/>
      <c r="F168" s="421"/>
      <c r="G168" s="421"/>
      <c r="H168" s="421"/>
      <c r="I168" s="421"/>
      <c r="J168" s="191"/>
      <c r="K168" s="191"/>
    </row>
    <row r="169" spans="1:13" x14ac:dyDescent="0.2">
      <c r="A169" s="247" t="s">
        <v>89</v>
      </c>
      <c r="B169" s="421" t="s">
        <v>104</v>
      </c>
      <c r="C169" s="421"/>
      <c r="D169" s="421"/>
      <c r="E169" s="421"/>
      <c r="F169" s="421"/>
      <c r="G169" s="421"/>
      <c r="H169" s="421"/>
      <c r="I169" s="421"/>
      <c r="J169" s="421"/>
      <c r="K169" s="421"/>
      <c r="L169" s="421"/>
      <c r="M169" s="421"/>
    </row>
    <row r="199" spans="1:13" x14ac:dyDescent="0.2">
      <c r="A199" s="421" t="s">
        <v>93</v>
      </c>
      <c r="B199" s="421"/>
      <c r="C199" s="421"/>
      <c r="D199" s="421"/>
      <c r="E199" s="421"/>
      <c r="F199" s="421"/>
    </row>
    <row r="200" spans="1:13" x14ac:dyDescent="0.2">
      <c r="A200" s="247" t="s">
        <v>86</v>
      </c>
      <c r="B200" s="421" t="s">
        <v>96</v>
      </c>
      <c r="C200" s="421"/>
      <c r="D200" s="421"/>
      <c r="E200" s="421"/>
      <c r="F200" s="421"/>
      <c r="G200" s="421"/>
      <c r="H200" s="421"/>
      <c r="I200" s="421"/>
      <c r="J200" s="421"/>
      <c r="K200" s="421"/>
      <c r="L200" s="421"/>
    </row>
    <row r="201" spans="1:13" x14ac:dyDescent="0.2">
      <c r="A201" s="247" t="s">
        <v>87</v>
      </c>
      <c r="B201" s="421" t="str">
        <f>CONCATENATE("Irrigated soybean yield is ",Conventional!$H$7," bu. and irrigated peanut yield is ",Conventional!$D$7," lbs.")</f>
        <v>Irrigated soybean yield is 60 bu. and irrigated peanut yield is 4700 lbs.</v>
      </c>
      <c r="C201" s="421"/>
      <c r="D201" s="421"/>
      <c r="E201" s="421"/>
      <c r="F201" s="421"/>
      <c r="G201" s="421"/>
      <c r="H201" s="421"/>
      <c r="I201" s="191"/>
      <c r="J201" s="191"/>
      <c r="K201" s="191"/>
    </row>
    <row r="202" spans="1:13" x14ac:dyDescent="0.2">
      <c r="A202" s="247" t="s">
        <v>88</v>
      </c>
      <c r="B202" s="421" t="str">
        <f>CONCATENATE("Non-irrigated soybean yield is ",Conventional!$T$7," bu. and non-irrigated peanut yield is ",Conventional!$P$7," lbs.")</f>
        <v>Non-irrigated soybean yield is 30 bu. and non-irrigated peanut yield is 3400 lbs.</v>
      </c>
      <c r="C202" s="421"/>
      <c r="D202" s="421"/>
      <c r="E202" s="421"/>
      <c r="F202" s="421"/>
      <c r="G202" s="421"/>
      <c r="H202" s="421"/>
      <c r="I202" s="421"/>
      <c r="J202" s="191"/>
      <c r="K202" s="191"/>
    </row>
    <row r="203" spans="1:13" x14ac:dyDescent="0.2">
      <c r="A203" s="247" t="s">
        <v>89</v>
      </c>
      <c r="B203" s="421" t="s">
        <v>104</v>
      </c>
      <c r="C203" s="421"/>
      <c r="D203" s="421"/>
      <c r="E203" s="421"/>
      <c r="F203" s="421"/>
      <c r="G203" s="421"/>
      <c r="H203" s="421"/>
      <c r="I203" s="421"/>
      <c r="J203" s="421"/>
      <c r="K203" s="421"/>
      <c r="L203" s="421"/>
      <c r="M203" s="421"/>
    </row>
    <row r="233" spans="1:13" x14ac:dyDescent="0.2">
      <c r="A233" s="422" t="s">
        <v>93</v>
      </c>
      <c r="B233" s="422"/>
      <c r="C233" s="422"/>
      <c r="D233" s="422"/>
      <c r="E233" s="422"/>
      <c r="F233" s="422"/>
    </row>
    <row r="234" spans="1:13" x14ac:dyDescent="0.2">
      <c r="A234" s="247" t="s">
        <v>86</v>
      </c>
      <c r="B234" s="421" t="s">
        <v>97</v>
      </c>
      <c r="C234" s="421"/>
      <c r="D234" s="421"/>
      <c r="E234" s="421"/>
      <c r="F234" s="421"/>
      <c r="G234" s="421"/>
      <c r="H234" s="421"/>
      <c r="I234" s="421"/>
      <c r="J234" s="421"/>
      <c r="K234" s="421"/>
    </row>
    <row r="235" spans="1:13" x14ac:dyDescent="0.2">
      <c r="A235" s="247" t="s">
        <v>87</v>
      </c>
      <c r="B235" s="421" t="str">
        <f>CONCATENATE("Irrigated cotton yield is ",Conventional!$B$7," lbs. and irrigated corn yield is ",Conventional!$F$7," bu.")</f>
        <v>Irrigated cotton yield is 1200 lbs. and irrigated corn yield is 200 bu.</v>
      </c>
      <c r="C235" s="421"/>
      <c r="D235" s="421"/>
      <c r="E235" s="421"/>
      <c r="F235" s="421"/>
      <c r="G235" s="421"/>
      <c r="H235" s="421"/>
      <c r="I235" s="191"/>
      <c r="J235" s="191"/>
      <c r="K235" s="191"/>
    </row>
    <row r="236" spans="1:13" x14ac:dyDescent="0.2">
      <c r="A236" s="247" t="s">
        <v>88</v>
      </c>
      <c r="B236" s="421" t="str">
        <f>CONCATENATE("Non-irrigated cotton yield is ",Conventional!$N$7," lbs. and non-irrigated corn yield is ",Conventional!$R$7," bu.")</f>
        <v>Non-irrigated cotton yield is 750 lbs. and non-irrigated corn yield is 85 bu.</v>
      </c>
      <c r="C236" s="421"/>
      <c r="D236" s="421"/>
      <c r="E236" s="421"/>
      <c r="F236" s="421"/>
      <c r="G236" s="421"/>
      <c r="H236" s="421"/>
      <c r="I236" s="421"/>
      <c r="J236" s="191"/>
      <c r="K236" s="191"/>
    </row>
    <row r="237" spans="1:13" x14ac:dyDescent="0.2">
      <c r="A237" s="247" t="s">
        <v>89</v>
      </c>
      <c r="B237" s="421" t="s">
        <v>104</v>
      </c>
      <c r="C237" s="421"/>
      <c r="D237" s="421"/>
      <c r="E237" s="421"/>
      <c r="F237" s="421"/>
      <c r="G237" s="421"/>
      <c r="H237" s="421"/>
      <c r="I237" s="421"/>
      <c r="J237" s="421"/>
      <c r="K237" s="421"/>
      <c r="L237" s="421"/>
      <c r="M237" s="421"/>
    </row>
    <row r="267" spans="1:13" x14ac:dyDescent="0.2">
      <c r="A267" s="421" t="s">
        <v>93</v>
      </c>
      <c r="B267" s="421"/>
      <c r="C267" s="421"/>
      <c r="D267" s="421"/>
      <c r="E267" s="421"/>
      <c r="F267" s="421"/>
    </row>
    <row r="268" spans="1:13" x14ac:dyDescent="0.2">
      <c r="A268" s="247" t="s">
        <v>86</v>
      </c>
      <c r="B268" s="421" t="s">
        <v>98</v>
      </c>
      <c r="C268" s="421"/>
      <c r="D268" s="421"/>
      <c r="E268" s="421"/>
      <c r="F268" s="421"/>
      <c r="G268" s="421"/>
      <c r="H268" s="421"/>
      <c r="I268" s="421"/>
      <c r="J268" s="421"/>
      <c r="K268" s="421"/>
    </row>
    <row r="269" spans="1:13" x14ac:dyDescent="0.2">
      <c r="A269" s="247" t="s">
        <v>87</v>
      </c>
      <c r="B269" s="421" t="str">
        <f>CONCATENATE("Irrigated peanut yield is ",Conventional!$D$7," lbs. and irrigated corn yield is ",Conventional!$F$7," bu.")</f>
        <v>Irrigated peanut yield is 4700 lbs. and irrigated corn yield is 200 bu.</v>
      </c>
      <c r="C269" s="421"/>
      <c r="D269" s="421"/>
      <c r="E269" s="421"/>
      <c r="F269" s="421"/>
      <c r="G269" s="421"/>
      <c r="H269" s="421"/>
      <c r="I269" s="191"/>
      <c r="J269" s="191"/>
      <c r="K269" s="191"/>
    </row>
    <row r="270" spans="1:13" x14ac:dyDescent="0.2">
      <c r="A270" s="247" t="s">
        <v>88</v>
      </c>
      <c r="B270" s="421" t="str">
        <f>CONCATENATE("Non-irrigated peanut yield is ",Conventional!$P$7," lbs. and non-irrigated corn yield is ",Conventional!$R$7," bu.")</f>
        <v>Non-irrigated peanut yield is 3400 lbs. and non-irrigated corn yield is 85 bu.</v>
      </c>
      <c r="C270" s="421"/>
      <c r="D270" s="421"/>
      <c r="E270" s="421"/>
      <c r="F270" s="421"/>
      <c r="G270" s="421"/>
      <c r="H270" s="421"/>
      <c r="I270" s="421"/>
      <c r="J270" s="191"/>
      <c r="K270" s="191"/>
    </row>
    <row r="271" spans="1:13" x14ac:dyDescent="0.2">
      <c r="A271" s="247" t="s">
        <v>89</v>
      </c>
      <c r="B271" s="421" t="s">
        <v>104</v>
      </c>
      <c r="C271" s="421"/>
      <c r="D271" s="421"/>
      <c r="E271" s="421"/>
      <c r="F271" s="421"/>
      <c r="G271" s="421"/>
      <c r="H271" s="421"/>
      <c r="I271" s="421"/>
      <c r="J271" s="421"/>
      <c r="K271" s="421"/>
      <c r="L271" s="421"/>
      <c r="M271" s="421"/>
    </row>
    <row r="301" spans="1:12" x14ac:dyDescent="0.2">
      <c r="A301" s="421" t="s">
        <v>93</v>
      </c>
      <c r="B301" s="421"/>
      <c r="C301" s="421"/>
      <c r="D301" s="421"/>
      <c r="E301" s="421"/>
      <c r="F301" s="421"/>
    </row>
    <row r="302" spans="1:12" x14ac:dyDescent="0.2">
      <c r="A302" s="247" t="s">
        <v>86</v>
      </c>
      <c r="B302" s="421" t="s">
        <v>99</v>
      </c>
      <c r="C302" s="421"/>
      <c r="D302" s="421"/>
      <c r="E302" s="421"/>
      <c r="F302" s="421"/>
      <c r="G302" s="421"/>
      <c r="H302" s="421"/>
      <c r="I302" s="421"/>
      <c r="J302" s="421"/>
      <c r="K302" s="421"/>
      <c r="L302" s="421"/>
    </row>
    <row r="303" spans="1:12" x14ac:dyDescent="0.2">
      <c r="A303" s="247" t="s">
        <v>87</v>
      </c>
      <c r="B303" s="421" t="str">
        <f>CONCATENATE("Irrigated soybean yield is ",Conventional!$H$7," bu. and irrigated corn yield is ",Conventional!$F$7," bu.")</f>
        <v>Irrigated soybean yield is 60 bu. and irrigated corn yield is 200 bu.</v>
      </c>
      <c r="C303" s="421"/>
      <c r="D303" s="421"/>
      <c r="E303" s="421"/>
      <c r="F303" s="421"/>
      <c r="G303" s="421"/>
      <c r="H303" s="421"/>
      <c r="I303" s="191"/>
      <c r="J303" s="191"/>
      <c r="K303" s="191"/>
    </row>
    <row r="304" spans="1:12" x14ac:dyDescent="0.2">
      <c r="A304" s="247" t="s">
        <v>88</v>
      </c>
      <c r="B304" s="421" t="str">
        <f>CONCATENATE("Non-irrigated soybean yield is ",Conventional!$T$7," bu. and non-irrigated corn yield is ",Conventional!$R$7," bu.")</f>
        <v>Non-irrigated soybean yield is 30 bu. and non-irrigated corn yield is 85 bu.</v>
      </c>
      <c r="C304" s="421"/>
      <c r="D304" s="421"/>
      <c r="E304" s="421"/>
      <c r="F304" s="421"/>
      <c r="G304" s="421"/>
      <c r="H304" s="421"/>
      <c r="I304" s="421"/>
      <c r="J304" s="191"/>
      <c r="K304" s="191"/>
    </row>
    <row r="305" spans="1:13" x14ac:dyDescent="0.2">
      <c r="A305" s="247" t="s">
        <v>89</v>
      </c>
      <c r="B305" s="421" t="s">
        <v>104</v>
      </c>
      <c r="C305" s="421"/>
      <c r="D305" s="421"/>
      <c r="E305" s="421"/>
      <c r="F305" s="421"/>
      <c r="G305" s="421"/>
      <c r="H305" s="421"/>
      <c r="I305" s="421"/>
      <c r="J305" s="421"/>
      <c r="K305" s="421"/>
      <c r="L305" s="421"/>
      <c r="M305" s="421"/>
    </row>
    <row r="334" spans="1:12" x14ac:dyDescent="0.2">
      <c r="A334" s="422" t="s">
        <v>93</v>
      </c>
      <c r="B334" s="422"/>
      <c r="C334" s="422"/>
      <c r="D334" s="422"/>
      <c r="E334" s="422"/>
      <c r="F334" s="422"/>
    </row>
    <row r="335" spans="1:12" x14ac:dyDescent="0.2">
      <c r="A335" s="247" t="s">
        <v>86</v>
      </c>
      <c r="B335" s="421" t="s">
        <v>100</v>
      </c>
      <c r="C335" s="421"/>
      <c r="D335" s="421"/>
      <c r="E335" s="421"/>
      <c r="F335" s="421"/>
      <c r="G335" s="421"/>
      <c r="H335" s="421"/>
      <c r="I335" s="421"/>
      <c r="J335" s="421"/>
      <c r="K335" s="421"/>
      <c r="L335" s="421"/>
    </row>
    <row r="336" spans="1:12" x14ac:dyDescent="0.2">
      <c r="A336" s="247" t="s">
        <v>87</v>
      </c>
      <c r="B336" s="421" t="str">
        <f>CONCATENATE("Irrigated cotton yield is ",Conventional!$B$7," lbs. and irrigated soybean yield is ",Conventional!$H$7," bu.")</f>
        <v>Irrigated cotton yield is 1200 lbs. and irrigated soybean yield is 60 bu.</v>
      </c>
      <c r="C336" s="421"/>
      <c r="D336" s="421"/>
      <c r="E336" s="421"/>
      <c r="F336" s="421"/>
      <c r="G336" s="421"/>
      <c r="H336" s="421"/>
      <c r="I336" s="191"/>
      <c r="J336" s="191"/>
      <c r="K336" s="191"/>
    </row>
    <row r="337" spans="1:13" x14ac:dyDescent="0.2">
      <c r="A337" s="247" t="s">
        <v>88</v>
      </c>
      <c r="B337" s="421" t="str">
        <f>CONCATENATE("Non-irrigated cotton yield is ",Conventional!$N$7," lbs. and non-irrigated soybean yield is ",Conventional!$T$7," bu.")</f>
        <v>Non-irrigated cotton yield is 750 lbs. and non-irrigated soybean yield is 30 bu.</v>
      </c>
      <c r="C337" s="421"/>
      <c r="D337" s="421"/>
      <c r="E337" s="421"/>
      <c r="F337" s="421"/>
      <c r="G337" s="421"/>
      <c r="H337" s="421"/>
      <c r="I337" s="421"/>
      <c r="J337" s="191"/>
      <c r="K337" s="191"/>
    </row>
    <row r="338" spans="1:13" x14ac:dyDescent="0.2">
      <c r="A338" s="247" t="s">
        <v>89</v>
      </c>
      <c r="B338" s="421" t="s">
        <v>104</v>
      </c>
      <c r="C338" s="421"/>
      <c r="D338" s="421"/>
      <c r="E338" s="421"/>
      <c r="F338" s="421"/>
      <c r="G338" s="421"/>
      <c r="H338" s="421"/>
      <c r="I338" s="421"/>
      <c r="J338" s="421"/>
      <c r="K338" s="421"/>
      <c r="L338" s="421"/>
      <c r="M338" s="421"/>
    </row>
    <row r="369" spans="1:13" x14ac:dyDescent="0.2">
      <c r="A369" s="421" t="s">
        <v>93</v>
      </c>
      <c r="B369" s="421"/>
      <c r="C369" s="421"/>
      <c r="D369" s="421"/>
      <c r="E369" s="421"/>
      <c r="F369" s="421"/>
    </row>
    <row r="370" spans="1:13" x14ac:dyDescent="0.2">
      <c r="A370" s="247" t="s">
        <v>86</v>
      </c>
      <c r="B370" s="421" t="s">
        <v>101</v>
      </c>
      <c r="C370" s="421"/>
      <c r="D370" s="421"/>
      <c r="E370" s="421"/>
      <c r="F370" s="421"/>
      <c r="G370" s="421"/>
      <c r="H370" s="421"/>
      <c r="I370" s="421"/>
      <c r="J370" s="421"/>
      <c r="K370" s="421"/>
      <c r="L370" s="421"/>
    </row>
    <row r="371" spans="1:13" x14ac:dyDescent="0.2">
      <c r="A371" s="247" t="s">
        <v>87</v>
      </c>
      <c r="B371" s="421" t="str">
        <f>CONCATENATE("Irrigated peanut yield is ",Conventional!$D$7," lbs. and irrigated soybean yield is ",Conventional!$H$7," bu.")</f>
        <v>Irrigated peanut yield is 4700 lbs. and irrigated soybean yield is 60 bu.</v>
      </c>
      <c r="C371" s="421"/>
      <c r="D371" s="421"/>
      <c r="E371" s="421"/>
      <c r="F371" s="421"/>
      <c r="G371" s="421"/>
      <c r="H371" s="421"/>
      <c r="I371" s="191"/>
      <c r="J371" s="191"/>
      <c r="K371" s="191"/>
    </row>
    <row r="372" spans="1:13" x14ac:dyDescent="0.2">
      <c r="A372" s="247" t="s">
        <v>88</v>
      </c>
      <c r="B372" s="421" t="str">
        <f>CONCATENATE("Non-irrigated peanut yield is ",Conventional!$P$7," lbs. and non-irrigated soybean yield is ",Conventional!$T$7," bu.")</f>
        <v>Non-irrigated peanut yield is 3400 lbs. and non-irrigated soybean yield is 30 bu.</v>
      </c>
      <c r="C372" s="421"/>
      <c r="D372" s="421"/>
      <c r="E372" s="421"/>
      <c r="F372" s="421"/>
      <c r="G372" s="421"/>
      <c r="H372" s="421"/>
      <c r="I372" s="421"/>
      <c r="J372" s="191"/>
      <c r="K372" s="191"/>
    </row>
    <row r="373" spans="1:13" x14ac:dyDescent="0.2">
      <c r="A373" s="247" t="s">
        <v>89</v>
      </c>
      <c r="B373" s="421" t="s">
        <v>104</v>
      </c>
      <c r="C373" s="421"/>
      <c r="D373" s="421"/>
      <c r="E373" s="421"/>
      <c r="F373" s="421"/>
      <c r="G373" s="421"/>
      <c r="H373" s="421"/>
      <c r="I373" s="421"/>
      <c r="J373" s="421"/>
      <c r="K373" s="421"/>
      <c r="L373" s="421"/>
      <c r="M373" s="421"/>
    </row>
    <row r="403" spans="1:13" x14ac:dyDescent="0.2">
      <c r="A403" s="421" t="s">
        <v>93</v>
      </c>
      <c r="B403" s="421"/>
      <c r="C403" s="421"/>
      <c r="D403" s="421"/>
      <c r="E403" s="421"/>
      <c r="F403" s="421"/>
    </row>
    <row r="404" spans="1:13" x14ac:dyDescent="0.2">
      <c r="A404" s="247" t="s">
        <v>86</v>
      </c>
      <c r="B404" s="421" t="s">
        <v>102</v>
      </c>
      <c r="C404" s="421"/>
      <c r="D404" s="421"/>
      <c r="E404" s="421"/>
      <c r="F404" s="421"/>
      <c r="G404" s="421"/>
      <c r="H404" s="421"/>
      <c r="I404" s="421"/>
      <c r="J404" s="421"/>
      <c r="K404" s="421"/>
      <c r="L404" s="421"/>
    </row>
    <row r="405" spans="1:13" x14ac:dyDescent="0.2">
      <c r="A405" s="247" t="s">
        <v>87</v>
      </c>
      <c r="B405" s="421" t="str">
        <f>CONCATENATE("Irrigated corn yield is ",Conventional!$F$7," bu. and irrigated soybean yield is ",Conventional!$H$7," bu.")</f>
        <v>Irrigated corn yield is 200 bu. and irrigated soybean yield is 60 bu.</v>
      </c>
      <c r="C405" s="421"/>
      <c r="D405" s="421"/>
      <c r="E405" s="421"/>
      <c r="F405" s="421"/>
      <c r="G405" s="421"/>
      <c r="H405" s="421"/>
      <c r="I405" s="191"/>
      <c r="J405" s="191"/>
      <c r="K405" s="191"/>
    </row>
    <row r="406" spans="1:13" x14ac:dyDescent="0.2">
      <c r="A406" s="247" t="s">
        <v>88</v>
      </c>
      <c r="B406" s="421" t="str">
        <f>CONCATENATE("Non-irrigated corn yield is ",Conventional!$R$7," bu. and non-irrigated soybean yield is ",Conventional!$T$7," bu.")</f>
        <v>Non-irrigated corn yield is 85 bu. and non-irrigated soybean yield is 30 bu.</v>
      </c>
      <c r="C406" s="421"/>
      <c r="D406" s="421"/>
      <c r="E406" s="421"/>
      <c r="F406" s="421"/>
      <c r="G406" s="421"/>
      <c r="H406" s="421"/>
      <c r="I406" s="421"/>
      <c r="J406" s="191"/>
      <c r="K406" s="191"/>
    </row>
    <row r="407" spans="1:13" x14ac:dyDescent="0.2">
      <c r="A407" s="247" t="s">
        <v>89</v>
      </c>
      <c r="B407" s="421" t="s">
        <v>104</v>
      </c>
      <c r="C407" s="421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Smith, N.B. Smith and W.D. Shurley&amp;RAg and Applied Economics, 12/2014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9:M407"/>
  <sheetViews>
    <sheetView zoomScale="179" zoomScaleNormal="179" zoomScaleSheetLayoutView="100" workbookViewId="0"/>
  </sheetViews>
  <sheetFormatPr defaultColWidth="8.85546875" defaultRowHeight="12.75" x14ac:dyDescent="0.2"/>
  <cols>
    <col min="1" max="1" width="8.85546875" style="101"/>
    <col min="2" max="2" width="8.85546875" style="191"/>
    <col min="3" max="26" width="8.85546875" style="101"/>
    <col min="27" max="27" width="8.85546875" style="101" customWidth="1"/>
    <col min="28" max="16384" width="8.85546875" style="101"/>
  </cols>
  <sheetData>
    <row r="29" spans="1:11" x14ac:dyDescent="0.2">
      <c r="A29" s="422" t="s">
        <v>93</v>
      </c>
      <c r="B29" s="422"/>
      <c r="C29" s="422"/>
      <c r="D29" s="422"/>
      <c r="E29" s="422"/>
      <c r="F29" s="422"/>
    </row>
    <row r="30" spans="1:11" x14ac:dyDescent="0.2">
      <c r="A30" s="247" t="s">
        <v>86</v>
      </c>
      <c r="B30" s="421" t="s">
        <v>90</v>
      </c>
      <c r="C30" s="421"/>
      <c r="D30" s="421"/>
      <c r="E30" s="421"/>
      <c r="F30" s="421"/>
      <c r="G30" s="421"/>
      <c r="H30" s="421"/>
      <c r="I30" s="421"/>
      <c r="J30" s="421"/>
      <c r="K30" s="421"/>
    </row>
    <row r="31" spans="1:11" x14ac:dyDescent="0.2">
      <c r="A31" s="247" t="s">
        <v>87</v>
      </c>
      <c r="B31" s="421" t="str">
        <f>CONCATENATE("Irrigated peanut yield is ",'Strip-Till'!$D$7," lbs. and irrigated cotton yield is ",'Strip-Till'!B7," lbs.")</f>
        <v>Irrigated peanut yield is 4700 lbs. and irrigated cotton yield is 1200 lbs.</v>
      </c>
      <c r="C31" s="421"/>
      <c r="D31" s="421"/>
      <c r="E31" s="421"/>
      <c r="F31" s="421"/>
      <c r="G31" s="421"/>
      <c r="H31" s="421"/>
      <c r="I31" s="191"/>
      <c r="J31" s="191"/>
      <c r="K31" s="191"/>
    </row>
    <row r="32" spans="1:11" x14ac:dyDescent="0.2">
      <c r="A32" s="247" t="s">
        <v>88</v>
      </c>
      <c r="B32" s="421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21"/>
      <c r="D32" s="421"/>
      <c r="E32" s="421"/>
      <c r="F32" s="421"/>
      <c r="G32" s="421"/>
      <c r="H32" s="421"/>
      <c r="I32" s="421"/>
      <c r="J32" s="191"/>
      <c r="K32" s="191"/>
    </row>
    <row r="33" spans="1:13" x14ac:dyDescent="0.2">
      <c r="A33" s="247" t="s">
        <v>89</v>
      </c>
      <c r="B33" s="421" t="s">
        <v>103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</row>
    <row r="63" spans="1:11" x14ac:dyDescent="0.2">
      <c r="A63" s="421" t="s">
        <v>93</v>
      </c>
      <c r="B63" s="421"/>
      <c r="C63" s="421"/>
      <c r="D63" s="421"/>
      <c r="E63" s="421"/>
      <c r="F63" s="421"/>
    </row>
    <row r="64" spans="1:11" x14ac:dyDescent="0.2">
      <c r="A64" s="247" t="s">
        <v>86</v>
      </c>
      <c r="B64" s="421" t="s">
        <v>91</v>
      </c>
      <c r="C64" s="421"/>
      <c r="D64" s="421"/>
      <c r="E64" s="421"/>
      <c r="F64" s="421"/>
      <c r="G64" s="421"/>
      <c r="H64" s="421"/>
      <c r="I64" s="421"/>
      <c r="J64" s="421"/>
      <c r="K64" s="421"/>
    </row>
    <row r="65" spans="1:13" x14ac:dyDescent="0.2">
      <c r="A65" s="247" t="s">
        <v>87</v>
      </c>
      <c r="B65" s="421" t="str">
        <f>CONCATENATE("Irrigated corn yield is ",'Strip-Till'!F7," bu. and irrigated cotton yield is ",'Strip-Till'!B7," lbs.")</f>
        <v>Irrigated corn yield is 200 bu. and irrigated cotton yield is 1200 lbs.</v>
      </c>
      <c r="C65" s="421"/>
      <c r="D65" s="421"/>
      <c r="E65" s="421"/>
      <c r="F65" s="421"/>
      <c r="G65" s="421"/>
      <c r="H65" s="421"/>
      <c r="I65" s="191"/>
      <c r="J65" s="191"/>
      <c r="K65" s="191"/>
    </row>
    <row r="66" spans="1:13" x14ac:dyDescent="0.2">
      <c r="A66" s="247" t="s">
        <v>88</v>
      </c>
      <c r="B66" s="421" t="str">
        <f>CONCATENATE("Non-irrigated corn yield is ",'Strip-Till'!P7," bu. and non-irrigated cotton yield is ",'Strip-Till'!L7," lbs.")</f>
        <v>Non-irrigated corn yield is 85 bu. and non-irrigated cotton yield is 750 lbs.</v>
      </c>
      <c r="C66" s="421"/>
      <c r="D66" s="421"/>
      <c r="E66" s="421"/>
      <c r="F66" s="421"/>
      <c r="G66" s="421"/>
      <c r="H66" s="421"/>
      <c r="I66" s="421"/>
      <c r="J66" s="191"/>
      <c r="K66" s="191"/>
    </row>
    <row r="67" spans="1:13" x14ac:dyDescent="0.2">
      <c r="A67" s="247" t="s">
        <v>89</v>
      </c>
      <c r="B67" s="421" t="s">
        <v>103</v>
      </c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</row>
    <row r="97" spans="1:13" x14ac:dyDescent="0.2">
      <c r="A97" s="421" t="s">
        <v>93</v>
      </c>
      <c r="B97" s="421"/>
      <c r="C97" s="421"/>
      <c r="D97" s="421"/>
      <c r="E97" s="421"/>
      <c r="F97" s="421"/>
    </row>
    <row r="98" spans="1:13" x14ac:dyDescent="0.2">
      <c r="A98" s="247" t="s">
        <v>86</v>
      </c>
      <c r="B98" s="421" t="s">
        <v>92</v>
      </c>
      <c r="C98" s="421"/>
      <c r="D98" s="421"/>
      <c r="E98" s="421"/>
      <c r="F98" s="421"/>
      <c r="G98" s="421"/>
      <c r="H98" s="421"/>
      <c r="I98" s="421"/>
      <c r="J98" s="421"/>
      <c r="K98" s="421"/>
      <c r="L98" s="421"/>
    </row>
    <row r="99" spans="1:13" x14ac:dyDescent="0.2">
      <c r="A99" s="247" t="s">
        <v>87</v>
      </c>
      <c r="B99" s="421" t="str">
        <f>CONCATENATE("Irrigated soybean yield is ",'Strip-Till'!H7," bu. and irrigated cotton yield is ",'Strip-Till'!B7," lbs.")</f>
        <v>Irrigated soybean yield is 60 bu. and irrigated cotton yield is 1200 lbs.</v>
      </c>
      <c r="C99" s="421"/>
      <c r="D99" s="421"/>
      <c r="E99" s="421"/>
      <c r="F99" s="421"/>
      <c r="G99" s="421"/>
      <c r="H99" s="421"/>
      <c r="I99" s="191"/>
      <c r="J99" s="191"/>
      <c r="K99" s="191"/>
    </row>
    <row r="100" spans="1:13" x14ac:dyDescent="0.2">
      <c r="A100" s="247" t="s">
        <v>88</v>
      </c>
      <c r="B100" s="421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21"/>
      <c r="D100" s="421"/>
      <c r="E100" s="421"/>
      <c r="F100" s="421"/>
      <c r="G100" s="421"/>
      <c r="H100" s="421"/>
      <c r="I100" s="421"/>
      <c r="J100" s="191"/>
      <c r="K100" s="191"/>
    </row>
    <row r="101" spans="1:13" x14ac:dyDescent="0.2">
      <c r="A101" s="247" t="s">
        <v>89</v>
      </c>
      <c r="B101" s="421" t="s">
        <v>103</v>
      </c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</row>
    <row r="131" spans="1:13" x14ac:dyDescent="0.2">
      <c r="A131" s="422" t="s">
        <v>93</v>
      </c>
      <c r="B131" s="422"/>
      <c r="C131" s="422"/>
      <c r="D131" s="422"/>
      <c r="E131" s="422"/>
      <c r="F131" s="422"/>
    </row>
    <row r="132" spans="1:13" x14ac:dyDescent="0.2">
      <c r="A132" s="247" t="s">
        <v>86</v>
      </c>
      <c r="B132" s="421" t="s">
        <v>94</v>
      </c>
      <c r="C132" s="421"/>
      <c r="D132" s="421"/>
      <c r="E132" s="421"/>
      <c r="F132" s="421"/>
      <c r="G132" s="421"/>
      <c r="H132" s="421"/>
      <c r="I132" s="421"/>
      <c r="J132" s="421"/>
      <c r="K132" s="421"/>
    </row>
    <row r="133" spans="1:13" x14ac:dyDescent="0.2">
      <c r="A133" s="247" t="s">
        <v>87</v>
      </c>
      <c r="B133" s="421" t="str">
        <f>CONCATENATE("Irrigated cotton yield is ",'Strip-Till'!B7," lbs. and irrigated peanut yield is ",'Strip-Till'!D7," lbs.")</f>
        <v>Irrigated cotton yield is 1200 lbs. and irrigated peanut yield is 4700 lbs.</v>
      </c>
      <c r="C133" s="421"/>
      <c r="D133" s="421"/>
      <c r="E133" s="421"/>
      <c r="F133" s="421"/>
      <c r="G133" s="421"/>
      <c r="H133" s="421"/>
      <c r="I133" s="191"/>
      <c r="J133" s="191"/>
      <c r="K133" s="191"/>
    </row>
    <row r="134" spans="1:13" x14ac:dyDescent="0.2">
      <c r="A134" s="247" t="s">
        <v>88</v>
      </c>
      <c r="B134" s="421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21"/>
      <c r="D134" s="421"/>
      <c r="E134" s="421"/>
      <c r="F134" s="421"/>
      <c r="G134" s="421"/>
      <c r="H134" s="421"/>
      <c r="I134" s="421"/>
      <c r="J134" s="191"/>
      <c r="K134" s="191"/>
    </row>
    <row r="135" spans="1:13" x14ac:dyDescent="0.2">
      <c r="A135" s="247" t="s">
        <v>89</v>
      </c>
      <c r="B135" s="421" t="s">
        <v>103</v>
      </c>
      <c r="C135" s="421"/>
      <c r="D135" s="421"/>
      <c r="E135" s="421"/>
      <c r="F135" s="421"/>
      <c r="G135" s="421"/>
      <c r="H135" s="421"/>
      <c r="I135" s="421"/>
      <c r="J135" s="421"/>
      <c r="K135" s="421"/>
      <c r="L135" s="421"/>
      <c r="M135" s="421"/>
    </row>
    <row r="165" spans="1:13" x14ac:dyDescent="0.2">
      <c r="A165" s="421" t="s">
        <v>93</v>
      </c>
      <c r="B165" s="421"/>
      <c r="C165" s="421"/>
      <c r="D165" s="421"/>
      <c r="E165" s="421"/>
      <c r="F165" s="421"/>
    </row>
    <row r="166" spans="1:13" x14ac:dyDescent="0.2">
      <c r="A166" s="247" t="s">
        <v>86</v>
      </c>
      <c r="B166" s="421" t="s">
        <v>95</v>
      </c>
      <c r="C166" s="421"/>
      <c r="D166" s="421"/>
      <c r="E166" s="421"/>
      <c r="F166" s="421"/>
      <c r="G166" s="421"/>
      <c r="H166" s="421"/>
      <c r="I166" s="421"/>
      <c r="J166" s="421"/>
      <c r="K166" s="421"/>
    </row>
    <row r="167" spans="1:13" x14ac:dyDescent="0.2">
      <c r="A167" s="247" t="s">
        <v>87</v>
      </c>
      <c r="B167" s="421" t="str">
        <f>CONCATENATE("Irrigated corn yield is ",'Strip-Till'!$F$7," bu. and irrigated peanut yield is ",'Strip-Till'!$D$7," lbs.")</f>
        <v>Irrigated corn yield is 200 bu. and irrigated peanut yield is 4700 lbs.</v>
      </c>
      <c r="C167" s="421"/>
      <c r="D167" s="421"/>
      <c r="E167" s="421"/>
      <c r="F167" s="421"/>
      <c r="G167" s="421"/>
      <c r="H167" s="421"/>
      <c r="I167" s="191"/>
      <c r="J167" s="191"/>
      <c r="K167" s="191"/>
    </row>
    <row r="168" spans="1:13" x14ac:dyDescent="0.2">
      <c r="A168" s="247" t="s">
        <v>88</v>
      </c>
      <c r="B168" s="421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21"/>
      <c r="D168" s="421"/>
      <c r="E168" s="421"/>
      <c r="F168" s="421"/>
      <c r="G168" s="421"/>
      <c r="H168" s="421"/>
      <c r="I168" s="421"/>
      <c r="J168" s="191"/>
      <c r="K168" s="191"/>
    </row>
    <row r="169" spans="1:13" x14ac:dyDescent="0.2">
      <c r="A169" s="247" t="s">
        <v>89</v>
      </c>
      <c r="B169" s="421" t="s">
        <v>103</v>
      </c>
      <c r="C169" s="421"/>
      <c r="D169" s="421"/>
      <c r="E169" s="421"/>
      <c r="F169" s="421"/>
      <c r="G169" s="421"/>
      <c r="H169" s="421"/>
      <c r="I169" s="421"/>
      <c r="J169" s="421"/>
      <c r="K169" s="421"/>
      <c r="L169" s="421"/>
      <c r="M169" s="421"/>
    </row>
    <row r="199" spans="1:13" x14ac:dyDescent="0.2">
      <c r="A199" s="421" t="s">
        <v>93</v>
      </c>
      <c r="B199" s="421"/>
      <c r="C199" s="421"/>
      <c r="D199" s="421"/>
      <c r="E199" s="421"/>
      <c r="F199" s="421"/>
    </row>
    <row r="200" spans="1:13" x14ac:dyDescent="0.2">
      <c r="A200" s="247" t="s">
        <v>86</v>
      </c>
      <c r="B200" s="421" t="s">
        <v>96</v>
      </c>
      <c r="C200" s="421"/>
      <c r="D200" s="421"/>
      <c r="E200" s="421"/>
      <c r="F200" s="421"/>
      <c r="G200" s="421"/>
      <c r="H200" s="421"/>
      <c r="I200" s="421"/>
      <c r="J200" s="421"/>
      <c r="K200" s="421"/>
      <c r="L200" s="421"/>
    </row>
    <row r="201" spans="1:13" x14ac:dyDescent="0.2">
      <c r="A201" s="247" t="s">
        <v>87</v>
      </c>
      <c r="B201" s="421" t="str">
        <f>CONCATENATE("Irrigated soybean yield is ",'Strip-Till'!$H$7," bu. and irrigated peanut yield is ",'Strip-Till'!$D$7," lbs.")</f>
        <v>Irrigated soybean yield is 60 bu. and irrigated peanut yield is 4700 lbs.</v>
      </c>
      <c r="C201" s="421"/>
      <c r="D201" s="421"/>
      <c r="E201" s="421"/>
      <c r="F201" s="421"/>
      <c r="G201" s="421"/>
      <c r="H201" s="421"/>
      <c r="I201" s="191"/>
      <c r="J201" s="191"/>
      <c r="K201" s="191"/>
    </row>
    <row r="202" spans="1:13" x14ac:dyDescent="0.2">
      <c r="A202" s="247" t="s">
        <v>88</v>
      </c>
      <c r="B202" s="421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21"/>
      <c r="D202" s="421"/>
      <c r="E202" s="421"/>
      <c r="F202" s="421"/>
      <c r="G202" s="421"/>
      <c r="H202" s="421"/>
      <c r="I202" s="421"/>
      <c r="J202" s="191"/>
      <c r="K202" s="191"/>
    </row>
    <row r="203" spans="1:13" x14ac:dyDescent="0.2">
      <c r="A203" s="247" t="s">
        <v>89</v>
      </c>
      <c r="B203" s="421" t="s">
        <v>103</v>
      </c>
      <c r="C203" s="421"/>
      <c r="D203" s="421"/>
      <c r="E203" s="421"/>
      <c r="F203" s="421"/>
      <c r="G203" s="421"/>
      <c r="H203" s="421"/>
      <c r="I203" s="421"/>
      <c r="J203" s="421"/>
      <c r="K203" s="421"/>
      <c r="L203" s="421"/>
      <c r="M203" s="421"/>
    </row>
    <row r="233" spans="1:13" x14ac:dyDescent="0.2">
      <c r="A233" s="422" t="s">
        <v>93</v>
      </c>
      <c r="B233" s="422"/>
      <c r="C233" s="422"/>
      <c r="D233" s="422"/>
      <c r="E233" s="422"/>
      <c r="F233" s="422"/>
    </row>
    <row r="234" spans="1:13" x14ac:dyDescent="0.2">
      <c r="A234" s="247" t="s">
        <v>86</v>
      </c>
      <c r="B234" s="421" t="s">
        <v>97</v>
      </c>
      <c r="C234" s="421"/>
      <c r="D234" s="421"/>
      <c r="E234" s="421"/>
      <c r="F234" s="421"/>
      <c r="G234" s="421"/>
      <c r="H234" s="421"/>
      <c r="I234" s="421"/>
      <c r="J234" s="421"/>
      <c r="K234" s="421"/>
    </row>
    <row r="235" spans="1:13" x14ac:dyDescent="0.2">
      <c r="A235" s="247" t="s">
        <v>87</v>
      </c>
      <c r="B235" s="421" t="str">
        <f>CONCATENATE("Irrigated cotton yield is ",'Strip-Till'!$B$7," lbs. and irrigated corn yield is ",'Strip-Till'!$F$7," bu.")</f>
        <v>Irrigated cotton yield is 1200 lbs. and irrigated corn yield is 200 bu.</v>
      </c>
      <c r="C235" s="421"/>
      <c r="D235" s="421"/>
      <c r="E235" s="421"/>
      <c r="F235" s="421"/>
      <c r="G235" s="421"/>
      <c r="H235" s="421"/>
      <c r="I235" s="191"/>
      <c r="J235" s="191"/>
      <c r="K235" s="191"/>
    </row>
    <row r="236" spans="1:13" x14ac:dyDescent="0.2">
      <c r="A236" s="247" t="s">
        <v>88</v>
      </c>
      <c r="B236" s="421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21"/>
      <c r="D236" s="421"/>
      <c r="E236" s="421"/>
      <c r="F236" s="421"/>
      <c r="G236" s="421"/>
      <c r="H236" s="421"/>
      <c r="I236" s="421"/>
      <c r="J236" s="191"/>
      <c r="K236" s="191"/>
    </row>
    <row r="237" spans="1:13" x14ac:dyDescent="0.2">
      <c r="A237" s="247" t="s">
        <v>89</v>
      </c>
      <c r="B237" s="421" t="s">
        <v>103</v>
      </c>
      <c r="C237" s="421"/>
      <c r="D237" s="421"/>
      <c r="E237" s="421"/>
      <c r="F237" s="421"/>
      <c r="G237" s="421"/>
      <c r="H237" s="421"/>
      <c r="I237" s="421"/>
      <c r="J237" s="421"/>
      <c r="K237" s="421"/>
      <c r="L237" s="421"/>
      <c r="M237" s="421"/>
    </row>
    <row r="267" spans="1:13" x14ac:dyDescent="0.2">
      <c r="A267" s="421" t="s">
        <v>93</v>
      </c>
      <c r="B267" s="421"/>
      <c r="C267" s="421"/>
      <c r="D267" s="421"/>
      <c r="E267" s="421"/>
      <c r="F267" s="421"/>
    </row>
    <row r="268" spans="1:13" x14ac:dyDescent="0.2">
      <c r="A268" s="247" t="s">
        <v>86</v>
      </c>
      <c r="B268" s="421" t="s">
        <v>98</v>
      </c>
      <c r="C268" s="421"/>
      <c r="D268" s="421"/>
      <c r="E268" s="421"/>
      <c r="F268" s="421"/>
      <c r="G268" s="421"/>
      <c r="H268" s="421"/>
      <c r="I268" s="421"/>
      <c r="J268" s="421"/>
      <c r="K268" s="421"/>
    </row>
    <row r="269" spans="1:13" x14ac:dyDescent="0.2">
      <c r="A269" s="247" t="s">
        <v>87</v>
      </c>
      <c r="B269" s="421" t="str">
        <f>CONCATENATE("Irrigated peanut yield is ",'Strip-Till'!$D$7," lbs. and irrigated corn yield is ",'Strip-Till'!$F$7," bu.")</f>
        <v>Irrigated peanut yield is 4700 lbs. and irrigated corn yield is 200 bu.</v>
      </c>
      <c r="C269" s="421"/>
      <c r="D269" s="421"/>
      <c r="E269" s="421"/>
      <c r="F269" s="421"/>
      <c r="G269" s="421"/>
      <c r="H269" s="421"/>
      <c r="I269" s="191"/>
      <c r="J269" s="191"/>
      <c r="K269" s="191"/>
    </row>
    <row r="270" spans="1:13" x14ac:dyDescent="0.2">
      <c r="A270" s="247" t="s">
        <v>88</v>
      </c>
      <c r="B270" s="421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21"/>
      <c r="D270" s="421"/>
      <c r="E270" s="421"/>
      <c r="F270" s="421"/>
      <c r="G270" s="421"/>
      <c r="H270" s="421"/>
      <c r="I270" s="421"/>
      <c r="J270" s="191"/>
      <c r="K270" s="191"/>
    </row>
    <row r="271" spans="1:13" x14ac:dyDescent="0.2">
      <c r="A271" s="247" t="s">
        <v>89</v>
      </c>
      <c r="B271" s="421" t="s">
        <v>103</v>
      </c>
      <c r="C271" s="421"/>
      <c r="D271" s="421"/>
      <c r="E271" s="421"/>
      <c r="F271" s="421"/>
      <c r="G271" s="421"/>
      <c r="H271" s="421"/>
      <c r="I271" s="421"/>
      <c r="J271" s="421"/>
      <c r="K271" s="421"/>
      <c r="L271" s="421"/>
      <c r="M271" s="421"/>
    </row>
    <row r="301" spans="1:12" x14ac:dyDescent="0.2">
      <c r="A301" s="421" t="s">
        <v>93</v>
      </c>
      <c r="B301" s="421"/>
      <c r="C301" s="421"/>
      <c r="D301" s="421"/>
      <c r="E301" s="421"/>
      <c r="F301" s="421"/>
    </row>
    <row r="302" spans="1:12" x14ac:dyDescent="0.2">
      <c r="A302" s="247" t="s">
        <v>86</v>
      </c>
      <c r="B302" s="421" t="s">
        <v>99</v>
      </c>
      <c r="C302" s="421"/>
      <c r="D302" s="421"/>
      <c r="E302" s="421"/>
      <c r="F302" s="421"/>
      <c r="G302" s="421"/>
      <c r="H302" s="421"/>
      <c r="I302" s="421"/>
      <c r="J302" s="421"/>
      <c r="K302" s="421"/>
      <c r="L302" s="421"/>
    </row>
    <row r="303" spans="1:12" x14ac:dyDescent="0.2">
      <c r="A303" s="247" t="s">
        <v>87</v>
      </c>
      <c r="B303" s="421" t="str">
        <f>CONCATENATE("Irrigated soybean yield is ",'Strip-Till'!$H$7," bu. and irrigated corn yield is ",'Strip-Till'!$F$7," bu.")</f>
        <v>Irrigated soybean yield is 60 bu. and irrigated corn yield is 200 bu.</v>
      </c>
      <c r="C303" s="421"/>
      <c r="D303" s="421"/>
      <c r="E303" s="421"/>
      <c r="F303" s="421"/>
      <c r="G303" s="421"/>
      <c r="H303" s="421"/>
      <c r="I303" s="191"/>
      <c r="J303" s="191"/>
      <c r="K303" s="191"/>
    </row>
    <row r="304" spans="1:12" x14ac:dyDescent="0.2">
      <c r="A304" s="247" t="s">
        <v>88</v>
      </c>
      <c r="B304" s="421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21"/>
      <c r="D304" s="421"/>
      <c r="E304" s="421"/>
      <c r="F304" s="421"/>
      <c r="G304" s="421"/>
      <c r="H304" s="421"/>
      <c r="I304" s="421"/>
      <c r="J304" s="191"/>
      <c r="K304" s="191"/>
    </row>
    <row r="305" spans="1:13" x14ac:dyDescent="0.2">
      <c r="A305" s="247" t="s">
        <v>89</v>
      </c>
      <c r="B305" s="421" t="s">
        <v>103</v>
      </c>
      <c r="C305" s="421"/>
      <c r="D305" s="421"/>
      <c r="E305" s="421"/>
      <c r="F305" s="421"/>
      <c r="G305" s="421"/>
      <c r="H305" s="421"/>
      <c r="I305" s="421"/>
      <c r="J305" s="421"/>
      <c r="K305" s="421"/>
      <c r="L305" s="421"/>
      <c r="M305" s="421"/>
    </row>
    <row r="334" spans="1:12" x14ac:dyDescent="0.2">
      <c r="A334" s="422" t="s">
        <v>93</v>
      </c>
      <c r="B334" s="422"/>
      <c r="C334" s="422"/>
      <c r="D334" s="422"/>
      <c r="E334" s="422"/>
      <c r="F334" s="422"/>
    </row>
    <row r="335" spans="1:12" x14ac:dyDescent="0.2">
      <c r="A335" s="247" t="s">
        <v>86</v>
      </c>
      <c r="B335" s="421" t="s">
        <v>100</v>
      </c>
      <c r="C335" s="421"/>
      <c r="D335" s="421"/>
      <c r="E335" s="421"/>
      <c r="F335" s="421"/>
      <c r="G335" s="421"/>
      <c r="H335" s="421"/>
      <c r="I335" s="421"/>
      <c r="J335" s="421"/>
      <c r="K335" s="421"/>
      <c r="L335" s="421"/>
    </row>
    <row r="336" spans="1:12" x14ac:dyDescent="0.2">
      <c r="A336" s="247" t="s">
        <v>87</v>
      </c>
      <c r="B336" s="421" t="str">
        <f>CONCATENATE("Irrigated cotton yield is ",'Strip-Till'!$B$7," lbs. and irrigated soybean yield is ",'Strip-Till'!$H$7," bu.")</f>
        <v>Irrigated cotton yield is 1200 lbs. and irrigated soybean yield is 60 bu.</v>
      </c>
      <c r="C336" s="421"/>
      <c r="D336" s="421"/>
      <c r="E336" s="421"/>
      <c r="F336" s="421"/>
      <c r="G336" s="421"/>
      <c r="H336" s="421"/>
      <c r="I336" s="191"/>
      <c r="J336" s="191"/>
      <c r="K336" s="191"/>
    </row>
    <row r="337" spans="1:13" x14ac:dyDescent="0.2">
      <c r="A337" s="247" t="s">
        <v>88</v>
      </c>
      <c r="B337" s="421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21"/>
      <c r="D337" s="421"/>
      <c r="E337" s="421"/>
      <c r="F337" s="421"/>
      <c r="G337" s="421"/>
      <c r="H337" s="421"/>
      <c r="I337" s="421"/>
      <c r="J337" s="191"/>
      <c r="K337" s="191"/>
    </row>
    <row r="338" spans="1:13" x14ac:dyDescent="0.2">
      <c r="A338" s="247" t="s">
        <v>89</v>
      </c>
      <c r="B338" s="421" t="s">
        <v>103</v>
      </c>
      <c r="C338" s="421"/>
      <c r="D338" s="421"/>
      <c r="E338" s="421"/>
      <c r="F338" s="421"/>
      <c r="G338" s="421"/>
      <c r="H338" s="421"/>
      <c r="I338" s="421"/>
      <c r="J338" s="421"/>
      <c r="K338" s="421"/>
      <c r="L338" s="421"/>
      <c r="M338" s="421"/>
    </row>
    <row r="369" spans="1:13" x14ac:dyDescent="0.2">
      <c r="A369" s="421" t="s">
        <v>93</v>
      </c>
      <c r="B369" s="421"/>
      <c r="C369" s="421"/>
      <c r="D369" s="421"/>
      <c r="E369" s="421"/>
      <c r="F369" s="421"/>
    </row>
    <row r="370" spans="1:13" x14ac:dyDescent="0.2">
      <c r="A370" s="247" t="s">
        <v>86</v>
      </c>
      <c r="B370" s="421" t="s">
        <v>101</v>
      </c>
      <c r="C370" s="421"/>
      <c r="D370" s="421"/>
      <c r="E370" s="421"/>
      <c r="F370" s="421"/>
      <c r="G370" s="421"/>
      <c r="H370" s="421"/>
      <c r="I370" s="421"/>
      <c r="J370" s="421"/>
      <c r="K370" s="421"/>
      <c r="L370" s="421"/>
    </row>
    <row r="371" spans="1:13" x14ac:dyDescent="0.2">
      <c r="A371" s="247" t="s">
        <v>87</v>
      </c>
      <c r="B371" s="421" t="str">
        <f>CONCATENATE("Irrigated peanut yield is ",'Strip-Till'!$D$7," lbs. and irrigated soybean yield is ",'Strip-Till'!$H$7," bu.")</f>
        <v>Irrigated peanut yield is 4700 lbs. and irrigated soybean yield is 60 bu.</v>
      </c>
      <c r="C371" s="421"/>
      <c r="D371" s="421"/>
      <c r="E371" s="421"/>
      <c r="F371" s="421"/>
      <c r="G371" s="421"/>
      <c r="H371" s="421"/>
      <c r="I371" s="191"/>
      <c r="J371" s="191"/>
      <c r="K371" s="191"/>
    </row>
    <row r="372" spans="1:13" x14ac:dyDescent="0.2">
      <c r="A372" s="247" t="s">
        <v>88</v>
      </c>
      <c r="B372" s="421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21"/>
      <c r="D372" s="421"/>
      <c r="E372" s="421"/>
      <c r="F372" s="421"/>
      <c r="G372" s="421"/>
      <c r="H372" s="421"/>
      <c r="I372" s="421"/>
      <c r="J372" s="191"/>
      <c r="K372" s="191"/>
    </row>
    <row r="373" spans="1:13" x14ac:dyDescent="0.2">
      <c r="A373" s="247" t="s">
        <v>89</v>
      </c>
      <c r="B373" s="421" t="s">
        <v>103</v>
      </c>
      <c r="C373" s="421"/>
      <c r="D373" s="421"/>
      <c r="E373" s="421"/>
      <c r="F373" s="421"/>
      <c r="G373" s="421"/>
      <c r="H373" s="421"/>
      <c r="I373" s="421"/>
      <c r="J373" s="421"/>
      <c r="K373" s="421"/>
      <c r="L373" s="421"/>
      <c r="M373" s="421"/>
    </row>
    <row r="403" spans="1:13" x14ac:dyDescent="0.2">
      <c r="A403" s="421" t="s">
        <v>93</v>
      </c>
      <c r="B403" s="421"/>
      <c r="C403" s="421"/>
      <c r="D403" s="421"/>
      <c r="E403" s="421"/>
      <c r="F403" s="421"/>
    </row>
    <row r="404" spans="1:13" x14ac:dyDescent="0.2">
      <c r="A404" s="247" t="s">
        <v>86</v>
      </c>
      <c r="B404" s="421" t="s">
        <v>102</v>
      </c>
      <c r="C404" s="421"/>
      <c r="D404" s="421"/>
      <c r="E404" s="421"/>
      <c r="F404" s="421"/>
      <c r="G404" s="421"/>
      <c r="H404" s="421"/>
      <c r="I404" s="421"/>
      <c r="J404" s="421"/>
      <c r="K404" s="421"/>
      <c r="L404" s="421"/>
    </row>
    <row r="405" spans="1:13" x14ac:dyDescent="0.2">
      <c r="A405" s="247" t="s">
        <v>87</v>
      </c>
      <c r="B405" s="421" t="str">
        <f>CONCATENATE("Irrigated corn yield is ",'Strip-Till'!$F$7," bu. and irrigated soybean yield is ",'Strip-Till'!$H$7," bu.")</f>
        <v>Irrigated corn yield is 200 bu. and irrigated soybean yield is 60 bu.</v>
      </c>
      <c r="C405" s="421"/>
      <c r="D405" s="421"/>
      <c r="E405" s="421"/>
      <c r="F405" s="421"/>
      <c r="G405" s="421"/>
      <c r="H405" s="421"/>
      <c r="I405" s="191"/>
      <c r="J405" s="191"/>
      <c r="K405" s="191"/>
    </row>
    <row r="406" spans="1:13" x14ac:dyDescent="0.2">
      <c r="A406" s="247" t="s">
        <v>88</v>
      </c>
      <c r="B406" s="421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21"/>
      <c r="D406" s="421"/>
      <c r="E406" s="421"/>
      <c r="F406" s="421"/>
      <c r="G406" s="421"/>
      <c r="H406" s="421"/>
      <c r="I406" s="421"/>
      <c r="J406" s="191"/>
      <c r="K406" s="191"/>
    </row>
    <row r="407" spans="1:13" x14ac:dyDescent="0.2">
      <c r="A407" s="247" t="s">
        <v>89</v>
      </c>
      <c r="B407" s="421" t="s">
        <v>103</v>
      </c>
      <c r="C407" s="421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Smith, N.B. Smith and W. D. Shurley&amp;RAg and Applied Economics, 12/2014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28515625" defaultRowHeight="12.75" x14ac:dyDescent="0.2"/>
  <cols>
    <col min="1" max="8" width="9.28515625" style="75" customWidth="1"/>
    <col min="9" max="16384" width="9.28515625" style="75"/>
  </cols>
  <sheetData>
    <row r="1" spans="1:13" s="62" customFormat="1" ht="12" hidden="1" x14ac:dyDescent="0.2">
      <c r="A1" s="61"/>
      <c r="B1" s="428" t="s">
        <v>45</v>
      </c>
      <c r="C1" s="428"/>
      <c r="D1" s="428"/>
      <c r="E1" s="428"/>
      <c r="F1" s="428"/>
      <c r="G1" s="428"/>
      <c r="H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Conventional!L6</f>
        <v>Wheat</v>
      </c>
      <c r="H2" s="61"/>
    </row>
    <row r="3" spans="1:13" s="62" customFormat="1" ht="12" hidden="1" x14ac:dyDescent="0.2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Conventional!L7</f>
        <v>75</v>
      </c>
      <c r="H3" s="66"/>
    </row>
    <row r="4" spans="1:13" s="62" customFormat="1" ht="12" hidden="1" x14ac:dyDescent="0.2">
      <c r="A4" s="62" t="s">
        <v>42</v>
      </c>
      <c r="B4" s="67">
        <f>Conventional!B8</f>
        <v>0.7</v>
      </c>
      <c r="C4" s="68">
        <f>Conventional!D8</f>
        <v>400</v>
      </c>
      <c r="D4" s="69">
        <f>Conventional!F8</f>
        <v>4.25</v>
      </c>
      <c r="E4" s="69">
        <f>Conventional!H8</f>
        <v>9.75</v>
      </c>
      <c r="F4" s="69">
        <f>Conventional!J8</f>
        <v>3.8</v>
      </c>
      <c r="G4" s="69">
        <f>Conventional!L8</f>
        <v>5.25</v>
      </c>
      <c r="H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940</v>
      </c>
      <c r="D5" s="71">
        <f>D3*D4</f>
        <v>850</v>
      </c>
      <c r="E5" s="71">
        <f>E3*E4</f>
        <v>585</v>
      </c>
      <c r="F5" s="71">
        <f>F3*F4</f>
        <v>380</v>
      </c>
      <c r="G5" s="71">
        <f>G3*G4</f>
        <v>393.75</v>
      </c>
      <c r="H5" s="72"/>
    </row>
    <row r="6" spans="1:13" s="62" customFormat="1" ht="12" hidden="1" x14ac:dyDescent="0.2">
      <c r="A6" s="70" t="s">
        <v>43</v>
      </c>
      <c r="B6" s="73">
        <f>Conventional!B30</f>
        <v>523.71496826316286</v>
      </c>
      <c r="C6" s="73">
        <f>Conventional!D30</f>
        <v>652.85797500000001</v>
      </c>
      <c r="D6" s="73">
        <f>Conventional!F30</f>
        <v>662.43695000000002</v>
      </c>
      <c r="E6" s="73">
        <f>Conventional!H30</f>
        <v>293.86257145000002</v>
      </c>
      <c r="F6" s="73">
        <f>Conventional!J30</f>
        <v>349.46343833333333</v>
      </c>
      <c r="G6" s="73">
        <f>Conventional!L30</f>
        <v>322.84182243749996</v>
      </c>
      <c r="H6" s="68"/>
    </row>
    <row r="7" spans="1:13" s="62" customFormat="1" ht="15.75" x14ac:dyDescent="0.25">
      <c r="A7" s="429" t="s">
        <v>129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30" t="s">
        <v>155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13" x14ac:dyDescent="0.2">
      <c r="A10" s="424" t="s">
        <v>47</v>
      </c>
      <c r="B10" s="424"/>
      <c r="C10" s="424"/>
      <c r="D10" s="424"/>
      <c r="E10" s="424"/>
      <c r="F10" s="424"/>
      <c r="H10" s="424" t="s">
        <v>50</v>
      </c>
      <c r="I10" s="424"/>
      <c r="J10" s="424"/>
      <c r="K10" s="424"/>
      <c r="L10" s="424"/>
      <c r="M10" s="424"/>
    </row>
    <row r="11" spans="1:13" s="62" customFormat="1" ht="12" x14ac:dyDescent="0.2">
      <c r="A11" s="423" t="s">
        <v>36</v>
      </c>
      <c r="B11" s="423"/>
      <c r="C11" s="423"/>
      <c r="D11" s="423"/>
      <c r="E11" s="423"/>
      <c r="F11" s="423"/>
      <c r="H11" s="427" t="s">
        <v>36</v>
      </c>
      <c r="I11" s="427"/>
      <c r="J11" s="427"/>
      <c r="K11" s="427"/>
      <c r="L11" s="427"/>
      <c r="M11" s="427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A16*0.7</f>
        <v>2.9749999999999996</v>
      </c>
      <c r="B14" s="85">
        <f>$A$14*B$13-$D$6</f>
        <v>-216.18695000000008</v>
      </c>
      <c r="C14" s="85">
        <f>$A$14*C$13-$D$6</f>
        <v>-126.93695000000014</v>
      </c>
      <c r="D14" s="85">
        <f>$A$14*D$13-$D$6</f>
        <v>-67.436950000000138</v>
      </c>
      <c r="E14" s="85">
        <f>$A$14*E$13-$D$6</f>
        <v>-7.9369500000000244</v>
      </c>
      <c r="F14" s="85">
        <f>$A$14*F$13-$D$6</f>
        <v>81.313049999999862</v>
      </c>
      <c r="H14" s="84">
        <f>H16*0.7</f>
        <v>0.48999999999999994</v>
      </c>
      <c r="I14" s="87">
        <f>$H$14*$I$13-$B$6</f>
        <v>-82.714968263162916</v>
      </c>
      <c r="J14" s="87">
        <f>$H$14*J13-$B$6</f>
        <v>5.4850317368370725</v>
      </c>
      <c r="K14" s="87">
        <f>$H$14*K13-$B$6</f>
        <v>64.285031736837027</v>
      </c>
      <c r="L14" s="87">
        <f>$H$14*L13-$B$6</f>
        <v>123.0850317368371</v>
      </c>
      <c r="M14" s="87">
        <f>$H$14*M13-$B$6</f>
        <v>211.28503173683703</v>
      </c>
    </row>
    <row r="15" spans="1:13" x14ac:dyDescent="0.2">
      <c r="A15" s="86">
        <f>A16*0.85</f>
        <v>3.6124999999999998</v>
      </c>
      <c r="B15" s="87">
        <f>$A$15*B$13-$D$6</f>
        <v>-120.56195000000002</v>
      </c>
      <c r="C15" s="87">
        <f>$A$15*C$13-$D$6</f>
        <v>-12.186950000000024</v>
      </c>
      <c r="D15" s="87">
        <f>$A$15*D$13-$D$6</f>
        <v>60.063049999999976</v>
      </c>
      <c r="E15" s="87">
        <f>$A$15*E$13-$D$6</f>
        <v>132.31305000000009</v>
      </c>
      <c r="F15" s="87">
        <f>$A$15*F$13-$D$6</f>
        <v>240.68804999999998</v>
      </c>
      <c r="H15" s="86">
        <f>H16*0.85</f>
        <v>0.59499999999999997</v>
      </c>
      <c r="I15" s="87">
        <f>$H$15*$I$13-$B$6</f>
        <v>11.785031736837141</v>
      </c>
      <c r="J15" s="87">
        <f>$H$15*J13-$B$6</f>
        <v>118.88503173683716</v>
      </c>
      <c r="K15" s="87">
        <f>$H$15*K13-$B$6</f>
        <v>190.28503173683714</v>
      </c>
      <c r="L15" s="87">
        <f>$H$15*L13-$B$6</f>
        <v>261.68503173683712</v>
      </c>
      <c r="M15" s="87">
        <f>$H$15*M13-$B$6</f>
        <v>368.78503173683714</v>
      </c>
    </row>
    <row r="16" spans="1:13" x14ac:dyDescent="0.2">
      <c r="A16" s="86">
        <f>D4</f>
        <v>4.25</v>
      </c>
      <c r="B16" s="87">
        <f>$A$16*B$13-$D$6</f>
        <v>-24.936950000000024</v>
      </c>
      <c r="C16" s="87">
        <f>$A$16*C$13-$D$6</f>
        <v>102.56304999999998</v>
      </c>
      <c r="D16" s="87">
        <f>$A$16*D$13-$D$6</f>
        <v>187.56304999999998</v>
      </c>
      <c r="E16" s="87">
        <f>$A$16*E$13-$D$6</f>
        <v>272.56305000000009</v>
      </c>
      <c r="F16" s="87">
        <f>$A$16*F$13-$D$6</f>
        <v>400.06304999999998</v>
      </c>
      <c r="H16" s="86">
        <f>B4</f>
        <v>0.7</v>
      </c>
      <c r="I16" s="87">
        <f>$H$16*$I$13-$B$6</f>
        <v>106.28503173683714</v>
      </c>
      <c r="J16" s="87">
        <f>$H$16*J13-$B$6</f>
        <v>232.28503173683714</v>
      </c>
      <c r="K16" s="87">
        <f>$H$16*K13-$B$6</f>
        <v>316.28503173683714</v>
      </c>
      <c r="L16" s="87">
        <f>$H$16*L13-$B$6</f>
        <v>400.28503173683703</v>
      </c>
      <c r="M16" s="87">
        <f>$H$16*M13-$B$6</f>
        <v>526.28503173683714</v>
      </c>
    </row>
    <row r="17" spans="1:13" x14ac:dyDescent="0.2">
      <c r="A17" s="86">
        <f>A16*1.15</f>
        <v>4.8874999999999993</v>
      </c>
      <c r="B17" s="87">
        <f>$A$17*B$13-$D$6</f>
        <v>70.688049999999862</v>
      </c>
      <c r="C17" s="87">
        <f>$A$17*C$13-$D$6</f>
        <v>217.31304999999986</v>
      </c>
      <c r="D17" s="87">
        <f>$A$17*D$13-$D$6</f>
        <v>315.06304999999986</v>
      </c>
      <c r="E17" s="87">
        <f>$A$17*E$13-$D$6</f>
        <v>412.81304999999998</v>
      </c>
      <c r="F17" s="87">
        <f>$A$17*F$13-$D$6</f>
        <v>559.43804999999975</v>
      </c>
      <c r="H17" s="86">
        <f>H16*1.15</f>
        <v>0.80499999999999994</v>
      </c>
      <c r="I17" s="87">
        <f>$H$17*$I$13-$B$6</f>
        <v>200.78503173683714</v>
      </c>
      <c r="J17" s="87">
        <f>$H$17*J13-$B$6</f>
        <v>345.68503173683712</v>
      </c>
      <c r="K17" s="87">
        <f>$H$17*K13-$B$6</f>
        <v>442.28503173683703</v>
      </c>
      <c r="L17" s="87">
        <f>$H$17*L13-$B$6</f>
        <v>538.88503173683705</v>
      </c>
      <c r="M17" s="87">
        <f>$H$17*M13-$B$6</f>
        <v>683.78503173683714</v>
      </c>
    </row>
    <row r="18" spans="1:13" x14ac:dyDescent="0.2">
      <c r="A18" s="88">
        <f>A16*1.3</f>
        <v>5.5250000000000004</v>
      </c>
      <c r="B18" s="89">
        <f>$A$18*B$13-$D$6</f>
        <v>166.31304999999998</v>
      </c>
      <c r="C18" s="89">
        <f>$A$18*C$13-$D$6</f>
        <v>332.06305000000009</v>
      </c>
      <c r="D18" s="89">
        <f>$A$18*D$13-$D$6</f>
        <v>442.56304999999998</v>
      </c>
      <c r="E18" s="89">
        <f>$A$18*E$13-$D$6</f>
        <v>553.0630500000002</v>
      </c>
      <c r="F18" s="89">
        <f>$A$18*F$13-$D$6</f>
        <v>718.81304999999998</v>
      </c>
      <c r="H18" s="88">
        <f>H16*1.3</f>
        <v>0.90999999999999992</v>
      </c>
      <c r="I18" s="89">
        <f>$H$18*$I$13-$B$6</f>
        <v>295.28503173683703</v>
      </c>
      <c r="J18" s="89">
        <f>$H$18*J13-$B$6</f>
        <v>459.0850317368371</v>
      </c>
      <c r="K18" s="89">
        <f>$H$18*K13-$B$6</f>
        <v>568.28503173683714</v>
      </c>
      <c r="L18" s="89">
        <f>$H$18*L13-$B$6</f>
        <v>677.48503173683696</v>
      </c>
      <c r="M18" s="89">
        <f>$H$18*M13-$B$6</f>
        <v>841.28503173683691</v>
      </c>
    </row>
    <row r="20" spans="1:13" x14ac:dyDescent="0.2">
      <c r="A20" s="424" t="s">
        <v>48</v>
      </c>
      <c r="B20" s="424"/>
      <c r="C20" s="424"/>
      <c r="D20" s="424"/>
      <c r="E20" s="424"/>
      <c r="F20" s="424"/>
      <c r="H20" s="425" t="s">
        <v>120</v>
      </c>
      <c r="I20" s="425"/>
      <c r="J20" s="425"/>
      <c r="K20" s="425"/>
      <c r="L20" s="425"/>
      <c r="M20" s="425"/>
    </row>
    <row r="21" spans="1:13" s="62" customFormat="1" ht="12" x14ac:dyDescent="0.2">
      <c r="A21" s="423" t="s">
        <v>36</v>
      </c>
      <c r="B21" s="423"/>
      <c r="C21" s="423"/>
      <c r="D21" s="423"/>
      <c r="E21" s="423"/>
      <c r="F21" s="423"/>
      <c r="H21" s="426" t="s">
        <v>36</v>
      </c>
      <c r="I21" s="426"/>
      <c r="J21" s="426"/>
      <c r="K21" s="426"/>
      <c r="L21" s="426"/>
      <c r="M21" s="426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A26*0.7</f>
        <v>2.6599999999999997</v>
      </c>
      <c r="B24" s="85">
        <f>$A$24*B$23-$F$6</f>
        <v>-149.96343833333336</v>
      </c>
      <c r="C24" s="85">
        <f>$A$24*C$23-$F$6</f>
        <v>-110.06343833333335</v>
      </c>
      <c r="D24" s="85">
        <f>$A$24*D$23-$F$6</f>
        <v>-83.463438333333386</v>
      </c>
      <c r="E24" s="85">
        <f>$A$24*E$23-$F$6</f>
        <v>-56.863438333333306</v>
      </c>
      <c r="F24" s="85">
        <f>$A$24*F$23-$F$6</f>
        <v>-16.963438333333386</v>
      </c>
      <c r="H24" s="90">
        <f>H26*0.7</f>
        <v>280</v>
      </c>
      <c r="I24" s="85">
        <f>$H$24*I$23/2000-$C$6</f>
        <v>-159.35797500000001</v>
      </c>
      <c r="J24" s="85">
        <f>$H$24*J$23/2000-$C$6</f>
        <v>-60.657974999999965</v>
      </c>
      <c r="K24" s="85">
        <f>$H$24*K$23/2000-$C$6</f>
        <v>5.1420249999999896</v>
      </c>
      <c r="L24" s="85">
        <f>$H$24*L$23/2000-$C$6</f>
        <v>70.942024999999944</v>
      </c>
      <c r="M24" s="85">
        <f>$H$24*M$23/2000-$C$6</f>
        <v>169.64202499999999</v>
      </c>
    </row>
    <row r="25" spans="1:13" x14ac:dyDescent="0.2">
      <c r="A25" s="86">
        <f>A26*0.85</f>
        <v>3.23</v>
      </c>
      <c r="B25" s="87">
        <f>$A$25*B$23-$F$6</f>
        <v>-107.21343833333333</v>
      </c>
      <c r="C25" s="87">
        <f>$A$25*C$23-$F$6</f>
        <v>-58.76343833333334</v>
      </c>
      <c r="D25" s="87">
        <f>$A$25*D$23-$F$6</f>
        <v>-26.463438333333329</v>
      </c>
      <c r="E25" s="87">
        <f>$A$25*E$23-$F$6</f>
        <v>5.8365616666667393</v>
      </c>
      <c r="F25" s="87">
        <f>$A$25*F$23-$F$6</f>
        <v>54.286561666666671</v>
      </c>
      <c r="H25" s="91">
        <f>H26*0.85</f>
        <v>340</v>
      </c>
      <c r="I25" s="87">
        <f>$H$25*I$23/2000-$C$6</f>
        <v>-53.60797500000001</v>
      </c>
      <c r="J25" s="87">
        <f>$H$25*J$23/2000-$C$6</f>
        <v>66.242025000000012</v>
      </c>
      <c r="K25" s="87">
        <f>$H$25*K$23/2000-$C$6</f>
        <v>146.14202499999999</v>
      </c>
      <c r="L25" s="87">
        <f>$H$25*L$23/2000-$C$6</f>
        <v>226.04202499999997</v>
      </c>
      <c r="M25" s="87">
        <f>$H$25*M$23/2000-$C$6</f>
        <v>345.89202499999999</v>
      </c>
    </row>
    <row r="26" spans="1:13" x14ac:dyDescent="0.2">
      <c r="A26" s="86">
        <f>F4</f>
        <v>3.8</v>
      </c>
      <c r="B26" s="87">
        <f>$A$26*B$23-$F$6</f>
        <v>-64.463438333333329</v>
      </c>
      <c r="C26" s="87">
        <f>$A$26*C$23-$F$6</f>
        <v>-7.463438333333329</v>
      </c>
      <c r="D26" s="87">
        <f>$A$26*D$23-$F$6</f>
        <v>30.536561666666671</v>
      </c>
      <c r="E26" s="87">
        <f>$A$26*E$23-$F$6</f>
        <v>68.536561666666728</v>
      </c>
      <c r="F26" s="87">
        <f>$A$26*F$23-$F$6</f>
        <v>125.53656166666667</v>
      </c>
      <c r="H26" s="91">
        <f>C4</f>
        <v>400</v>
      </c>
      <c r="I26" s="87">
        <f>$H$26*I$23/2000-$C$6</f>
        <v>52.14202499999999</v>
      </c>
      <c r="J26" s="87">
        <f>$H$26*J$23/2000-$C$6</f>
        <v>193.14202499999999</v>
      </c>
      <c r="K26" s="87">
        <f>$H$26*K$23/2000-$C$6</f>
        <v>287.14202499999999</v>
      </c>
      <c r="L26" s="87">
        <f>$H$26*L$23/2000-$C$6</f>
        <v>381.14202499999999</v>
      </c>
      <c r="M26" s="87">
        <f>$H$26*M$23/2000-$C$6</f>
        <v>522.14202499999999</v>
      </c>
    </row>
    <row r="27" spans="1:13" x14ac:dyDescent="0.2">
      <c r="A27" s="86">
        <f>A26*1.15</f>
        <v>4.3699999999999992</v>
      </c>
      <c r="B27" s="87">
        <f>$A$27*B$23-$F$6</f>
        <v>-21.713438333333386</v>
      </c>
      <c r="C27" s="87">
        <f>$A$27*C$23-$F$6</f>
        <v>43.836561666666626</v>
      </c>
      <c r="D27" s="87">
        <f>$A$27*D$23-$F$6</f>
        <v>87.536561666666614</v>
      </c>
      <c r="E27" s="87">
        <f>$A$27*E$23-$F$6</f>
        <v>131.23656166666666</v>
      </c>
      <c r="F27" s="87">
        <f>$A$27*F$23-$F$6</f>
        <v>196.78656166666656</v>
      </c>
      <c r="H27" s="91">
        <f>H26*1.15</f>
        <v>459.99999999999994</v>
      </c>
      <c r="I27" s="87">
        <f>$H$27*I$23/2000-$C$6</f>
        <v>157.89202499999988</v>
      </c>
      <c r="J27" s="87">
        <f>$H$27*J$23/2000-$C$6</f>
        <v>320.04202499999985</v>
      </c>
      <c r="K27" s="87">
        <f>$H$27*K$23/2000-$C$6</f>
        <v>428.14202499999976</v>
      </c>
      <c r="L27" s="87">
        <f>$H$27*L$23/2000-$C$6</f>
        <v>536.24202499999967</v>
      </c>
      <c r="M27" s="87">
        <f>$H$27*M$23/2000-$C$6</f>
        <v>698.39202499999976</v>
      </c>
    </row>
    <row r="28" spans="1:13" x14ac:dyDescent="0.2">
      <c r="A28" s="88">
        <f>A26*1.3</f>
        <v>4.9399999999999995</v>
      </c>
      <c r="B28" s="89">
        <f>$A$28*B$23-$F$6</f>
        <v>21.036561666666614</v>
      </c>
      <c r="C28" s="89">
        <f>$A$28*C$23-$F$6</f>
        <v>95.136561666666637</v>
      </c>
      <c r="D28" s="89">
        <f>$A$28*D$23-$F$6</f>
        <v>144.53656166666661</v>
      </c>
      <c r="E28" s="89">
        <f>$A$28*E$23-$F$6</f>
        <v>193.93656166666665</v>
      </c>
      <c r="F28" s="89">
        <f>$A$28*F$23-$F$6</f>
        <v>268.03656166666656</v>
      </c>
      <c r="H28" s="92">
        <f>H26*1.3</f>
        <v>520</v>
      </c>
      <c r="I28" s="89">
        <f>$H$28*I$23/2000-$C$6</f>
        <v>263.64202499999999</v>
      </c>
      <c r="J28" s="89">
        <f>$H$28*J$23/2000-$C$6</f>
        <v>446.94202499999994</v>
      </c>
      <c r="K28" s="89">
        <f>$H$28*K$23/2000-$C$6</f>
        <v>569.14202499999999</v>
      </c>
      <c r="L28" s="89">
        <f>$H$28*L$23/2000-$C$6</f>
        <v>691.34202500000004</v>
      </c>
      <c r="M28" s="89">
        <f>$H$28*M$23/2000-$C$6</f>
        <v>874.64202499999999</v>
      </c>
    </row>
    <row r="30" spans="1:13" x14ac:dyDescent="0.2">
      <c r="A30" s="424" t="s">
        <v>49</v>
      </c>
      <c r="B30" s="424"/>
      <c r="C30" s="424"/>
      <c r="D30" s="424"/>
      <c r="E30" s="424"/>
      <c r="F30" s="424"/>
      <c r="H30" s="424" t="s">
        <v>64</v>
      </c>
      <c r="I30" s="424"/>
      <c r="J30" s="424"/>
      <c r="K30" s="424"/>
      <c r="L30" s="424"/>
      <c r="M30" s="424"/>
    </row>
    <row r="31" spans="1:13" s="62" customFormat="1" ht="12" x14ac:dyDescent="0.2">
      <c r="A31" s="423" t="s">
        <v>36</v>
      </c>
      <c r="B31" s="423"/>
      <c r="C31" s="423"/>
      <c r="D31" s="423"/>
      <c r="E31" s="423"/>
      <c r="F31" s="423"/>
      <c r="H31" s="423" t="s">
        <v>36</v>
      </c>
      <c r="I31" s="423"/>
      <c r="J31" s="423"/>
      <c r="K31" s="423"/>
      <c r="L31" s="423"/>
      <c r="M31" s="423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2">
      <c r="A34" s="84">
        <f>A36*0.7</f>
        <v>6.8249999999999993</v>
      </c>
      <c r="B34" s="85">
        <f>$A$34*B$33-$E$6</f>
        <v>13.262428549999925</v>
      </c>
      <c r="C34" s="85">
        <f>$A$34*C$33-$E$6</f>
        <v>74.687428549999936</v>
      </c>
      <c r="D34" s="85">
        <f>$A$34*D$33-$E$6</f>
        <v>115.63742854999992</v>
      </c>
      <c r="E34" s="85">
        <f>$A$34*E$33-$E$6</f>
        <v>156.58742854999991</v>
      </c>
      <c r="F34" s="85">
        <f>$A$34*F$33-$E$6</f>
        <v>218.01242854999992</v>
      </c>
      <c r="H34" s="84">
        <f>H36*0.7</f>
        <v>3.6749999999999998</v>
      </c>
      <c r="I34" s="85">
        <f>$H$34*I$33-$G$6</f>
        <v>-116.12307243749996</v>
      </c>
      <c r="J34" s="85">
        <f>$H$34*J$33-$G$6</f>
        <v>-74.779322437499957</v>
      </c>
      <c r="K34" s="85">
        <f>$H$34*K$33-$G$6</f>
        <v>-47.216822437499957</v>
      </c>
      <c r="L34" s="85">
        <f>$H$34*L$33-$G$6</f>
        <v>-19.654322437499957</v>
      </c>
      <c r="M34" s="85">
        <f>$H$34*M$33-$G$6</f>
        <v>21.689427562500043</v>
      </c>
    </row>
    <row r="35" spans="1:13" x14ac:dyDescent="0.2">
      <c r="A35" s="86">
        <f>A36*0.85</f>
        <v>8.2874999999999996</v>
      </c>
      <c r="B35" s="87">
        <f>$A$35*B$33-$E$6</f>
        <v>79.074928549999981</v>
      </c>
      <c r="C35" s="87">
        <f>$A$35*C$33-$E$6</f>
        <v>153.66242854999996</v>
      </c>
      <c r="D35" s="87">
        <f>$A$35*D$33-$E$6</f>
        <v>203.38742854999998</v>
      </c>
      <c r="E35" s="87">
        <f>$A$35*E$33-$E$6</f>
        <v>253.11242855</v>
      </c>
      <c r="F35" s="87">
        <f>$A$35*F$33-$E$6</f>
        <v>327.69992854999998</v>
      </c>
      <c r="H35" s="86">
        <f>H36*0.85</f>
        <v>4.4624999999999995</v>
      </c>
      <c r="I35" s="87">
        <f>$H$35*I$33-$G$6</f>
        <v>-71.826197437499985</v>
      </c>
      <c r="J35" s="87">
        <f>$H$35*J$33-$G$6</f>
        <v>-21.623072437500014</v>
      </c>
      <c r="K35" s="87">
        <f>$H$35*K$33-$G$6</f>
        <v>11.845677562499986</v>
      </c>
      <c r="L35" s="87">
        <f>$H$35*L$33-$G$6</f>
        <v>45.314427562499986</v>
      </c>
      <c r="M35" s="87">
        <f>$H$35*M$33-$G$6</f>
        <v>95.517552562499986</v>
      </c>
    </row>
    <row r="36" spans="1:13" x14ac:dyDescent="0.2">
      <c r="A36" s="86">
        <f>E4</f>
        <v>9.75</v>
      </c>
      <c r="B36" s="87">
        <f>$A$36*B$33-$E$6</f>
        <v>144.88742854999998</v>
      </c>
      <c r="C36" s="87">
        <f>$A$36*C$33-$E$6</f>
        <v>232.63742854999998</v>
      </c>
      <c r="D36" s="87">
        <f>$A$36*D$33-$E$6</f>
        <v>291.13742854999998</v>
      </c>
      <c r="E36" s="87">
        <f>$A$36*E$33-$E$6</f>
        <v>349.63742854999998</v>
      </c>
      <c r="F36" s="87">
        <f>$A$36*F$33-$E$6</f>
        <v>437.38742854999998</v>
      </c>
      <c r="H36" s="86">
        <f>G4</f>
        <v>5.25</v>
      </c>
      <c r="I36" s="87">
        <f>$H$36*I$33-$G$6</f>
        <v>-27.529322437499957</v>
      </c>
      <c r="J36" s="87">
        <f>$H$36*J$33-$G$6</f>
        <v>31.533177562500043</v>
      </c>
      <c r="K36" s="87">
        <f>$H$36*K$33-$G$6</f>
        <v>70.908177562500043</v>
      </c>
      <c r="L36" s="87">
        <f>$H$36*L$33-$G$6</f>
        <v>110.28317756250004</v>
      </c>
      <c r="M36" s="87">
        <f>$H$36*M$33-$G$6</f>
        <v>169.34567756250004</v>
      </c>
    </row>
    <row r="37" spans="1:13" x14ac:dyDescent="0.2">
      <c r="A37" s="86">
        <f>A36*1.15</f>
        <v>11.212499999999999</v>
      </c>
      <c r="B37" s="87">
        <f>$A$37*B$33-$E$6</f>
        <v>210.69992854999992</v>
      </c>
      <c r="C37" s="87">
        <f>$A$37*C$33-$E$6</f>
        <v>311.61242854999989</v>
      </c>
      <c r="D37" s="87">
        <f>$A$37*D$33-$E$6</f>
        <v>378.88742854999987</v>
      </c>
      <c r="E37" s="87">
        <f>$A$37*E$33-$E$6</f>
        <v>446.16242854999985</v>
      </c>
      <c r="F37" s="87">
        <f>$A$37*F$33-$E$6</f>
        <v>547.07492854999987</v>
      </c>
      <c r="H37" s="86">
        <f>H36*1.15</f>
        <v>6.0374999999999996</v>
      </c>
      <c r="I37" s="87">
        <f>$H$37*I$33-$G$6</f>
        <v>16.767552562500043</v>
      </c>
      <c r="J37" s="87">
        <f>$H$37*J$33-$G$6</f>
        <v>84.689427562500043</v>
      </c>
      <c r="K37" s="87">
        <f>$H$37*K$33-$G$6</f>
        <v>129.97067756250004</v>
      </c>
      <c r="L37" s="87">
        <f>$H$37*L$33-$G$6</f>
        <v>175.25192756249999</v>
      </c>
      <c r="M37" s="87">
        <f>$H$37*M$33-$G$6</f>
        <v>243.17380256250004</v>
      </c>
    </row>
    <row r="38" spans="1:13" x14ac:dyDescent="0.2">
      <c r="A38" s="88">
        <f>A36*1.3</f>
        <v>12.675000000000001</v>
      </c>
      <c r="B38" s="89">
        <f>$A$38*B$33-$E$6</f>
        <v>276.51242854999998</v>
      </c>
      <c r="C38" s="89">
        <f>$A$38*C$33-$E$6</f>
        <v>390.58742855000003</v>
      </c>
      <c r="D38" s="89">
        <f>$A$38*D$33-$E$6</f>
        <v>466.63742854999998</v>
      </c>
      <c r="E38" s="89">
        <f>$A$38*E$33-$E$6</f>
        <v>542.68742855000005</v>
      </c>
      <c r="F38" s="89">
        <f>$A$38*F$33-$E$6</f>
        <v>656.76242854999998</v>
      </c>
      <c r="H38" s="88">
        <f>H36*1.3</f>
        <v>6.8250000000000002</v>
      </c>
      <c r="I38" s="89">
        <f>$H$38*I$33-$G$6</f>
        <v>61.064427562500043</v>
      </c>
      <c r="J38" s="89">
        <f>$H$38*J$33-$G$6</f>
        <v>137.84567756250004</v>
      </c>
      <c r="K38" s="89">
        <f>$H$38*K$33-$G$6</f>
        <v>189.03317756250004</v>
      </c>
      <c r="L38" s="89">
        <f>$H$38*L$33-$G$6</f>
        <v>240.22067756250004</v>
      </c>
      <c r="M38" s="89">
        <f>$H$38*M$33-$G$6</f>
        <v>317.00192756250004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 xml:space="preserve">&amp;L&amp;G&amp;C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28515625" defaultRowHeight="12.75" x14ac:dyDescent="0.2"/>
  <cols>
    <col min="1" max="16384" width="9.28515625" style="75"/>
  </cols>
  <sheetData>
    <row r="1" spans="1:13" s="62" customFormat="1" ht="12" hidden="1" x14ac:dyDescent="0.2">
      <c r="B1" s="428" t="s">
        <v>46</v>
      </c>
      <c r="C1" s="428"/>
      <c r="D1" s="428"/>
      <c r="E1" s="428"/>
      <c r="F1" s="428"/>
      <c r="G1" s="428"/>
    </row>
    <row r="2" spans="1:13" s="62" customFormat="1" ht="12" hidden="1" x14ac:dyDescent="0.2">
      <c r="A2" s="63" t="s">
        <v>40</v>
      </c>
      <c r="B2" s="64" t="str">
        <f>Conventional!N6</f>
        <v>Cotton</v>
      </c>
      <c r="C2" s="64" t="str">
        <f>Conventional!P6</f>
        <v>Peanuts</v>
      </c>
      <c r="D2" s="64" t="str">
        <f>Conventional!R6</f>
        <v>Corn</v>
      </c>
      <c r="E2" s="64" t="str">
        <f>Conventional!T6</f>
        <v>Soybeans</v>
      </c>
      <c r="F2" s="64" t="str">
        <f>Conventional!V6</f>
        <v>Sorghum</v>
      </c>
      <c r="G2" s="64" t="str">
        <f>Conventional!X6</f>
        <v>Wheat</v>
      </c>
    </row>
    <row r="3" spans="1:13" s="62" customFormat="1" ht="12" hidden="1" x14ac:dyDescent="0.2">
      <c r="A3" s="63" t="s">
        <v>41</v>
      </c>
      <c r="B3" s="65">
        <f>Conventional!N7</f>
        <v>750</v>
      </c>
      <c r="C3" s="65">
        <f>Conventional!P7</f>
        <v>3400</v>
      </c>
      <c r="D3" s="65">
        <f>Conventional!R7</f>
        <v>85</v>
      </c>
      <c r="E3" s="65">
        <f>Conventional!T7</f>
        <v>30</v>
      </c>
      <c r="F3" s="65">
        <f>Conventional!V7</f>
        <v>65</v>
      </c>
      <c r="G3" s="65">
        <f>Conventional!X7</f>
        <v>55</v>
      </c>
    </row>
    <row r="4" spans="1:13" s="62" customFormat="1" ht="12" hidden="1" x14ac:dyDescent="0.2">
      <c r="A4" s="62" t="s">
        <v>42</v>
      </c>
      <c r="B4" s="67">
        <f>Conventional!N8</f>
        <v>0.7</v>
      </c>
      <c r="C4" s="68">
        <f>Conventional!P8</f>
        <v>400</v>
      </c>
      <c r="D4" s="69">
        <f>Conventional!R8</f>
        <v>4.25</v>
      </c>
      <c r="E4" s="69">
        <f>Conventional!T8</f>
        <v>9.75</v>
      </c>
      <c r="F4" s="69">
        <f>Conventional!V8</f>
        <v>3.8</v>
      </c>
      <c r="G4" s="69">
        <f>Conventional!X8</f>
        <v>5.25</v>
      </c>
    </row>
    <row r="5" spans="1:13" s="62" customFormat="1" ht="12" hidden="1" x14ac:dyDescent="0.2">
      <c r="A5" s="70" t="s">
        <v>44</v>
      </c>
      <c r="B5" s="71">
        <f t="shared" ref="B5:G5" si="0">B3*B4</f>
        <v>525</v>
      </c>
      <c r="C5" s="71">
        <f>C3*C4/2000</f>
        <v>680</v>
      </c>
      <c r="D5" s="71">
        <f t="shared" si="0"/>
        <v>361.25</v>
      </c>
      <c r="E5" s="71">
        <f t="shared" si="0"/>
        <v>292.5</v>
      </c>
      <c r="F5" s="71">
        <f t="shared" si="0"/>
        <v>247</v>
      </c>
      <c r="G5" s="71">
        <f t="shared" si="0"/>
        <v>288.75</v>
      </c>
    </row>
    <row r="6" spans="1:13" s="62" customFormat="1" ht="12" hidden="1" x14ac:dyDescent="0.2">
      <c r="A6" s="70" t="s">
        <v>43</v>
      </c>
      <c r="B6" s="73">
        <f>Conventional!N30</f>
        <v>422.77026661174233</v>
      </c>
      <c r="C6" s="73">
        <f>Conventional!P30</f>
        <v>550.27682500000003</v>
      </c>
      <c r="D6" s="73">
        <f>Conventional!R30</f>
        <v>313.09462896249994</v>
      </c>
      <c r="E6" s="73">
        <f>Conventional!T30</f>
        <v>212.16840435000003</v>
      </c>
      <c r="F6" s="73">
        <f>Conventional!V30</f>
        <v>223.03863426249995</v>
      </c>
      <c r="G6" s="73">
        <f>Conventional!X30</f>
        <v>199.35894557499998</v>
      </c>
    </row>
    <row r="7" spans="1:13" s="62" customFormat="1" ht="15.75" x14ac:dyDescent="0.25">
      <c r="A7" s="431" t="s">
        <v>130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30" t="s">
        <v>155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13" x14ac:dyDescent="0.2">
      <c r="A10" s="424" t="s">
        <v>51</v>
      </c>
      <c r="B10" s="424"/>
      <c r="C10" s="424"/>
      <c r="D10" s="424"/>
      <c r="E10" s="424"/>
      <c r="F10" s="424"/>
      <c r="H10" s="424" t="s">
        <v>52</v>
      </c>
      <c r="I10" s="424"/>
      <c r="J10" s="424"/>
      <c r="K10" s="424"/>
      <c r="L10" s="424"/>
      <c r="M10" s="424"/>
    </row>
    <row r="11" spans="1:13" s="62" customFormat="1" ht="12" x14ac:dyDescent="0.2">
      <c r="A11" s="423" t="s">
        <v>36</v>
      </c>
      <c r="B11" s="423"/>
      <c r="C11" s="423"/>
      <c r="D11" s="423"/>
      <c r="E11" s="423"/>
      <c r="F11" s="423"/>
      <c r="H11" s="427" t="s">
        <v>36</v>
      </c>
      <c r="I11" s="427"/>
      <c r="J11" s="427"/>
      <c r="K11" s="427"/>
      <c r="L11" s="427"/>
      <c r="M11" s="427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-123.43837896249997</v>
      </c>
      <c r="C14" s="85">
        <f>$A$14*C$13-$D$6</f>
        <v>-85.507128962499962</v>
      </c>
      <c r="D14" s="85">
        <f>$A$14*D$13-$D$6</f>
        <v>-60.219628962499968</v>
      </c>
      <c r="E14" s="85">
        <f>$A$14*E$13-$D$6</f>
        <v>-34.932128962499917</v>
      </c>
      <c r="F14" s="85">
        <f>$A$14*F$13-$D$6</f>
        <v>2.9991210375000037</v>
      </c>
      <c r="H14" s="84">
        <f>Irrigated!H14</f>
        <v>0.48999999999999994</v>
      </c>
      <c r="I14" s="85">
        <f>$H$14*I$13-$B$6</f>
        <v>-147.14526661174239</v>
      </c>
      <c r="J14" s="85">
        <f>$H$14*J$13-$B$6</f>
        <v>-92.020266611742386</v>
      </c>
      <c r="K14" s="85">
        <f>$H$14*K$13-$B$6</f>
        <v>-55.270266611742386</v>
      </c>
      <c r="L14" s="85">
        <f>$H$14*L$13-$B$6</f>
        <v>-18.520266611742329</v>
      </c>
      <c r="M14" s="85">
        <f>$H$14*M$13-$B$6</f>
        <v>36.604733388257614</v>
      </c>
    </row>
    <row r="15" spans="1:13" x14ac:dyDescent="0.2">
      <c r="A15" s="86">
        <f>Irrigated!A15</f>
        <v>3.6124999999999998</v>
      </c>
      <c r="B15" s="87">
        <f>$A$15*B$13-$D$6</f>
        <v>-82.797753962499939</v>
      </c>
      <c r="C15" s="87">
        <f>$A$15*C$13-$D$6</f>
        <v>-36.738378962499951</v>
      </c>
      <c r="D15" s="87">
        <f>$A$15*D$13-$D$6</f>
        <v>-6.0321289624999395</v>
      </c>
      <c r="E15" s="87">
        <f>$A$15*E$13-$D$6</f>
        <v>24.674121037500072</v>
      </c>
      <c r="F15" s="87">
        <f>$A$15*F$13-$D$6</f>
        <v>70.733496037500061</v>
      </c>
      <c r="H15" s="86">
        <f>Irrigated!H15</f>
        <v>0.59499999999999997</v>
      </c>
      <c r="I15" s="87">
        <f>$H$15*I$13-$B$6</f>
        <v>-88.082766611742329</v>
      </c>
      <c r="J15" s="87">
        <f>$H$15*J$13-$B$6</f>
        <v>-21.145266611742329</v>
      </c>
      <c r="K15" s="87">
        <f>$H$15*K$13-$B$6</f>
        <v>23.479733388257671</v>
      </c>
      <c r="L15" s="87">
        <f>$H$15*L$13-$B$6</f>
        <v>68.104733388257728</v>
      </c>
      <c r="M15" s="87">
        <f>$H$15*M$13-$B$6</f>
        <v>135.04223338825767</v>
      </c>
    </row>
    <row r="16" spans="1:13" x14ac:dyDescent="0.2">
      <c r="A16" s="86">
        <f>Irrigated!A16</f>
        <v>4.25</v>
      </c>
      <c r="B16" s="87">
        <f>$A$16*B$13-$D$6</f>
        <v>-42.157128962499939</v>
      </c>
      <c r="C16" s="87">
        <f>$A$16*C$13-$D$6</f>
        <v>12.030371037500061</v>
      </c>
      <c r="D16" s="87">
        <f>$A$16*D$13-$D$6</f>
        <v>48.155371037500061</v>
      </c>
      <c r="E16" s="87">
        <f>$A$16*E$13-$D$6</f>
        <v>84.280371037500117</v>
      </c>
      <c r="F16" s="87">
        <f>$A$16*F$13-$D$6</f>
        <v>138.46787103750006</v>
      </c>
      <c r="H16" s="86">
        <f>Irrigated!H16</f>
        <v>0.7</v>
      </c>
      <c r="I16" s="87">
        <f>$H$16*I$13-$B$6</f>
        <v>-29.020266611742329</v>
      </c>
      <c r="J16" s="87">
        <f>$H$16*J$13-$B$6</f>
        <v>49.729733388257614</v>
      </c>
      <c r="K16" s="87">
        <f>$H$16*K$13-$B$6</f>
        <v>102.22973338825767</v>
      </c>
      <c r="L16" s="87">
        <f>$H$16*L$13-$B$6</f>
        <v>154.72973338825767</v>
      </c>
      <c r="M16" s="87">
        <f>$H$16*M$13-$B$6</f>
        <v>233.47973338825767</v>
      </c>
    </row>
    <row r="17" spans="1:13" x14ac:dyDescent="0.2">
      <c r="A17" s="86">
        <f>Irrigated!A17</f>
        <v>4.8874999999999993</v>
      </c>
      <c r="B17" s="87">
        <f>$A$17*B$13-$D$6</f>
        <v>-1.5165039624999963</v>
      </c>
      <c r="C17" s="87">
        <f>$A$17*C$13-$D$6</f>
        <v>60.799121037500015</v>
      </c>
      <c r="D17" s="87">
        <f>$A$17*D$13-$D$6</f>
        <v>102.3428710375</v>
      </c>
      <c r="E17" s="87">
        <f>$A$17*E$13-$D$6</f>
        <v>143.88662103750005</v>
      </c>
      <c r="F17" s="87">
        <f>$A$17*F$13-$D$6</f>
        <v>206.20224603749995</v>
      </c>
      <c r="H17" s="86">
        <f>Irrigated!H17</f>
        <v>0.80499999999999994</v>
      </c>
      <c r="I17" s="87">
        <f>$H$17*I$13-$B$6</f>
        <v>30.042233388257614</v>
      </c>
      <c r="J17" s="87">
        <f>$H$17*J$13-$B$6</f>
        <v>120.60473338825767</v>
      </c>
      <c r="K17" s="87">
        <f>$H$17*K$13-$B$6</f>
        <v>180.97973338825767</v>
      </c>
      <c r="L17" s="87">
        <f>$H$17*L$13-$B$6</f>
        <v>241.35473338825767</v>
      </c>
      <c r="M17" s="87">
        <f>$H$17*M$13-$B$6</f>
        <v>331.91723338825756</v>
      </c>
    </row>
    <row r="18" spans="1:13" x14ac:dyDescent="0.2">
      <c r="A18" s="88">
        <f>Irrigated!A18</f>
        <v>5.5250000000000004</v>
      </c>
      <c r="B18" s="89">
        <f>$A$18*B$13-$D$6</f>
        <v>39.124121037500061</v>
      </c>
      <c r="C18" s="89">
        <f>$A$18*C$13-$D$6</f>
        <v>109.56787103750008</v>
      </c>
      <c r="D18" s="89">
        <f>$A$18*D$13-$D$6</f>
        <v>156.53037103750012</v>
      </c>
      <c r="E18" s="89">
        <f>$A$18*E$13-$D$6</f>
        <v>203.49287103750015</v>
      </c>
      <c r="F18" s="89">
        <f>$A$18*F$13-$D$6</f>
        <v>273.93662103750006</v>
      </c>
      <c r="H18" s="88">
        <f>Irrigated!H18</f>
        <v>0.90999999999999992</v>
      </c>
      <c r="I18" s="89">
        <f>$H$18*I$13-$B$6</f>
        <v>89.104733388257614</v>
      </c>
      <c r="J18" s="89">
        <f>$H$18*J$13-$B$6</f>
        <v>191.47973338825767</v>
      </c>
      <c r="K18" s="89">
        <f>$H$18*K$13-$B$6</f>
        <v>259.72973338825756</v>
      </c>
      <c r="L18" s="89">
        <f>$H$18*L$13-$B$6</f>
        <v>327.97973338825767</v>
      </c>
      <c r="M18" s="89">
        <f>$H$18*M$13-$B$6</f>
        <v>430.35473338825756</v>
      </c>
    </row>
    <row r="20" spans="1:13" x14ac:dyDescent="0.2">
      <c r="A20" s="424" t="s">
        <v>54</v>
      </c>
      <c r="B20" s="424"/>
      <c r="C20" s="424"/>
      <c r="D20" s="424"/>
      <c r="E20" s="424"/>
      <c r="F20" s="424"/>
      <c r="H20" s="425" t="s">
        <v>121</v>
      </c>
      <c r="I20" s="425"/>
      <c r="J20" s="425"/>
      <c r="K20" s="425"/>
      <c r="L20" s="425"/>
      <c r="M20" s="425"/>
    </row>
    <row r="21" spans="1:13" s="62" customFormat="1" ht="12" x14ac:dyDescent="0.2">
      <c r="A21" s="423" t="s">
        <v>36</v>
      </c>
      <c r="B21" s="423"/>
      <c r="C21" s="423"/>
      <c r="D21" s="423"/>
      <c r="E21" s="423"/>
      <c r="F21" s="423"/>
      <c r="H21" s="426" t="s">
        <v>36</v>
      </c>
      <c r="I21" s="426"/>
      <c r="J21" s="426"/>
      <c r="K21" s="426"/>
      <c r="L21" s="426"/>
      <c r="M21" s="426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2.6599999999999997</v>
      </c>
      <c r="B24" s="85">
        <f>$A$24*B$23-$F$6</f>
        <v>-93.363634262499971</v>
      </c>
      <c r="C24" s="85">
        <f>$A$24*C$23-$F$6</f>
        <v>-67.428634262499969</v>
      </c>
      <c r="D24" s="85">
        <f>$A$24*D$23-$F$6</f>
        <v>-50.138634262499977</v>
      </c>
      <c r="E24" s="85">
        <f>$A$24*E$23-$F$6</f>
        <v>-32.848634262499985</v>
      </c>
      <c r="F24" s="85">
        <f>$A$24*F$23-$F$6</f>
        <v>-6.9136342624999827</v>
      </c>
      <c r="H24" s="90">
        <f>Irrigated!H24</f>
        <v>280</v>
      </c>
      <c r="I24" s="85">
        <f>$H$24*I$23/2000-$C$6</f>
        <v>-193.27682500000003</v>
      </c>
      <c r="J24" s="85">
        <f>$H$24*J$23/2000-$C$6</f>
        <v>-121.87682500000005</v>
      </c>
      <c r="K24" s="85">
        <f>$H$24*K$23/2000-$C$6</f>
        <v>-74.276825000000031</v>
      </c>
      <c r="L24" s="85">
        <f>$H$24*L$23/2000-$C$6</f>
        <v>-26.676825000000008</v>
      </c>
      <c r="M24" s="85">
        <f>$H$24*M$23/2000-$C$6</f>
        <v>44.723174999999969</v>
      </c>
    </row>
    <row r="25" spans="1:13" x14ac:dyDescent="0.2">
      <c r="A25" s="86">
        <f>Irrigated!A25</f>
        <v>3.23</v>
      </c>
      <c r="B25" s="87">
        <f>$A$25*B$23-$F$6</f>
        <v>-65.576134262499949</v>
      </c>
      <c r="C25" s="87">
        <f>$A$25*C$23-$F$6</f>
        <v>-34.083634262499942</v>
      </c>
      <c r="D25" s="87">
        <f>$A$25*D$23-$F$6</f>
        <v>-13.088634262499966</v>
      </c>
      <c r="E25" s="87">
        <f>$A$25*E$23-$F$6</f>
        <v>7.9063657375000389</v>
      </c>
      <c r="F25" s="87">
        <f>$A$25*F$23-$F$6</f>
        <v>39.398865737500046</v>
      </c>
      <c r="H25" s="91">
        <f>Irrigated!H25</f>
        <v>340</v>
      </c>
      <c r="I25" s="87">
        <f>$H$25*I$23/2000-$C$6</f>
        <v>-116.77682500000003</v>
      </c>
      <c r="J25" s="87">
        <f>$H$25*J$23/2000-$C$6</f>
        <v>-30.076824999999985</v>
      </c>
      <c r="K25" s="87">
        <f>$H$25*K$23/2000-$C$6</f>
        <v>27.723174999999969</v>
      </c>
      <c r="L25" s="87">
        <f>$H$25*L$23/2000-$C$6</f>
        <v>85.523175000000037</v>
      </c>
      <c r="M25" s="87">
        <f>$H$25*M$23/2000-$C$6</f>
        <v>172.22317499999997</v>
      </c>
    </row>
    <row r="26" spans="1:13" x14ac:dyDescent="0.2">
      <c r="A26" s="86">
        <f>Irrigated!A26</f>
        <v>3.8</v>
      </c>
      <c r="B26" s="87">
        <f>$A$26*B$23-$F$6</f>
        <v>-37.788634262499954</v>
      </c>
      <c r="C26" s="87">
        <f>$A$26*C$23-$F$6</f>
        <v>-0.73863426249997133</v>
      </c>
      <c r="D26" s="87">
        <f>$A$26*D$23-$F$6</f>
        <v>23.961365737500046</v>
      </c>
      <c r="E26" s="87">
        <f>$A$26*E$23-$F$6</f>
        <v>48.661365737500034</v>
      </c>
      <c r="F26" s="87">
        <f>$A$26*F$23-$F$6</f>
        <v>85.711365737500046</v>
      </c>
      <c r="H26" s="91">
        <f>Irrigated!H26</f>
        <v>400</v>
      </c>
      <c r="I26" s="87">
        <f>$H$26*I$23/2000-$C$6</f>
        <v>-40.276825000000031</v>
      </c>
      <c r="J26" s="87">
        <f>$H$26*J$23/2000-$C$6</f>
        <v>61.723174999999969</v>
      </c>
      <c r="K26" s="87">
        <f>$H$26*K$23/2000-$C$6</f>
        <v>129.72317499999997</v>
      </c>
      <c r="L26" s="87">
        <f>$H$26*L$23/2000-$C$6</f>
        <v>197.72317500000008</v>
      </c>
      <c r="M26" s="87">
        <f>$H$26*M$23/2000-$C$6</f>
        <v>299.72317499999997</v>
      </c>
    </row>
    <row r="27" spans="1:13" x14ac:dyDescent="0.2">
      <c r="A27" s="86">
        <f>Irrigated!A27</f>
        <v>4.3699999999999992</v>
      </c>
      <c r="B27" s="87">
        <f>$A$27*B$23-$F$6</f>
        <v>-10.001134262499988</v>
      </c>
      <c r="C27" s="87">
        <f>$A$27*C$23-$F$6</f>
        <v>32.606365737499999</v>
      </c>
      <c r="D27" s="87">
        <f>$A$27*D$23-$F$6</f>
        <v>61.0113657375</v>
      </c>
      <c r="E27" s="87">
        <f>$A$27*E$23-$F$6</f>
        <v>89.416365737499973</v>
      </c>
      <c r="F27" s="87">
        <f>$A$27*F$23-$F$6</f>
        <v>132.02386573749999</v>
      </c>
      <c r="H27" s="91">
        <f>Irrigated!H27</f>
        <v>459.99999999999994</v>
      </c>
      <c r="I27" s="87">
        <f>$H$27*I$23/2000-$C$6</f>
        <v>36.223174999999856</v>
      </c>
      <c r="J27" s="87">
        <f>$H$27*J$23/2000-$C$6</f>
        <v>153.52317499999981</v>
      </c>
      <c r="K27" s="87">
        <f>$H$27*K$23/2000-$C$6</f>
        <v>231.72317499999986</v>
      </c>
      <c r="L27" s="87">
        <f>$H$27*L$23/2000-$C$6</f>
        <v>309.92317500000001</v>
      </c>
      <c r="M27" s="87">
        <f>$H$27*M$23/2000-$C$6</f>
        <v>427.22317499999986</v>
      </c>
    </row>
    <row r="28" spans="1:13" x14ac:dyDescent="0.2">
      <c r="A28" s="88">
        <f>Irrigated!A28</f>
        <v>4.9399999999999995</v>
      </c>
      <c r="B28" s="89">
        <f>$A$28*B$23-$F$6</f>
        <v>17.786365737500034</v>
      </c>
      <c r="C28" s="89">
        <f>$A$28*C$23-$F$6</f>
        <v>65.951365737499998</v>
      </c>
      <c r="D28" s="89">
        <f>$A$28*D$23-$F$6</f>
        <v>98.061365737500012</v>
      </c>
      <c r="E28" s="89">
        <f>$A$28*E$23-$F$6</f>
        <v>130.17136573750003</v>
      </c>
      <c r="F28" s="89">
        <f>$A$28*F$23-$F$6</f>
        <v>178.33636573749999</v>
      </c>
      <c r="H28" s="92">
        <f>Irrigated!H28</f>
        <v>520</v>
      </c>
      <c r="I28" s="89">
        <f>$H$28*I$23/2000-$C$6</f>
        <v>112.72317499999997</v>
      </c>
      <c r="J28" s="89">
        <f>$H$28*J$23/2000-$C$6</f>
        <v>245.32317499999999</v>
      </c>
      <c r="K28" s="89">
        <f>$H$28*K$23/2000-$C$6</f>
        <v>333.72317499999997</v>
      </c>
      <c r="L28" s="89">
        <f>$H$28*L$23/2000-$C$6</f>
        <v>422.12317500000006</v>
      </c>
      <c r="M28" s="89">
        <f>$H$28*M$23/2000-$C$6</f>
        <v>554.72317499999997</v>
      </c>
    </row>
    <row r="30" spans="1:13" x14ac:dyDescent="0.2">
      <c r="A30" s="424" t="s">
        <v>53</v>
      </c>
      <c r="B30" s="424"/>
      <c r="C30" s="424"/>
      <c r="D30" s="424"/>
      <c r="E30" s="424"/>
      <c r="F30" s="424"/>
      <c r="H30" s="424" t="s">
        <v>63</v>
      </c>
      <c r="I30" s="424"/>
      <c r="J30" s="424"/>
      <c r="K30" s="424"/>
      <c r="L30" s="424"/>
      <c r="M30" s="424"/>
    </row>
    <row r="31" spans="1:13" s="62" customFormat="1" ht="12" x14ac:dyDescent="0.2">
      <c r="A31" s="423" t="s">
        <v>36</v>
      </c>
      <c r="B31" s="423"/>
      <c r="C31" s="423"/>
      <c r="D31" s="423"/>
      <c r="E31" s="423"/>
      <c r="F31" s="423"/>
      <c r="H31" s="423" t="s">
        <v>36</v>
      </c>
      <c r="I31" s="423"/>
      <c r="J31" s="423"/>
      <c r="K31" s="423"/>
      <c r="L31" s="423"/>
      <c r="M31" s="423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2">
      <c r="A34" s="84">
        <f>Irrigated!A34</f>
        <v>6.8249999999999993</v>
      </c>
      <c r="B34" s="85">
        <f>$A$34*B$33-$E$6</f>
        <v>-58.60590435000006</v>
      </c>
      <c r="C34" s="85">
        <f>$A$34*C$33-$E$6</f>
        <v>-27.893404350000054</v>
      </c>
      <c r="D34" s="85">
        <f>$A$34*D$33-$E$6</f>
        <v>-7.4184043500000598</v>
      </c>
      <c r="E34" s="85">
        <f>$A$34*E$33-$E$6</f>
        <v>13.056595649999934</v>
      </c>
      <c r="F34" s="85">
        <f>$A$34*F$33-$E$6</f>
        <v>43.76909564999994</v>
      </c>
      <c r="H34" s="84">
        <f>Irrigated!H34</f>
        <v>3.6749999999999998</v>
      </c>
      <c r="I34" s="85">
        <f>$H$34*I$33-$G$6</f>
        <v>-47.765195574999979</v>
      </c>
      <c r="J34" s="85">
        <f>$H$34*J$33-$G$6</f>
        <v>-17.446445574999984</v>
      </c>
      <c r="K34" s="85">
        <f>$H$34*K$33-$G$6</f>
        <v>2.7660544250000214</v>
      </c>
      <c r="L34" s="85">
        <f>$H$34*L$33-$G$6</f>
        <v>22.978554425000027</v>
      </c>
      <c r="M34" s="85">
        <f>$H$34*M$33-$G$6</f>
        <v>53.297304425000021</v>
      </c>
    </row>
    <row r="35" spans="1:13" x14ac:dyDescent="0.2">
      <c r="A35" s="86">
        <f>Irrigated!A35</f>
        <v>8.2874999999999996</v>
      </c>
      <c r="B35" s="87">
        <f>$A$35*B$33-$E$6</f>
        <v>-25.699654350000031</v>
      </c>
      <c r="C35" s="87">
        <f>$A$35*C$33-$E$6</f>
        <v>11.594095649999957</v>
      </c>
      <c r="D35" s="87">
        <f>$A$35*D$33-$E$6</f>
        <v>36.456595649999969</v>
      </c>
      <c r="E35" s="87">
        <f>$A$35*E$33-$E$6</f>
        <v>61.31909564999998</v>
      </c>
      <c r="F35" s="87">
        <f>$A$35*F$33-$E$6</f>
        <v>98.612845649999969</v>
      </c>
      <c r="H35" s="86">
        <f>Irrigated!H35</f>
        <v>4.4624999999999995</v>
      </c>
      <c r="I35" s="87">
        <f>$H$35*I$33-$G$6</f>
        <v>-15.280820575000007</v>
      </c>
      <c r="J35" s="87">
        <f>$H$35*J$33-$G$6</f>
        <v>21.534804425000004</v>
      </c>
      <c r="K35" s="87">
        <f>$H$35*K$33-$G$6</f>
        <v>46.078554424999993</v>
      </c>
      <c r="L35" s="87">
        <f>$H$35*L$33-$G$6</f>
        <v>70.62230442500001</v>
      </c>
      <c r="M35" s="87">
        <f>$H$35*M$33-$G$6</f>
        <v>107.43792942499996</v>
      </c>
    </row>
    <row r="36" spans="1:13" x14ac:dyDescent="0.2">
      <c r="A36" s="86">
        <f>Irrigated!A36</f>
        <v>9.75</v>
      </c>
      <c r="B36" s="87">
        <f>$A$36*B$33-$E$6</f>
        <v>7.2065956499999686</v>
      </c>
      <c r="C36" s="87">
        <f>$A$36*C$33-$E$6</f>
        <v>51.081595649999969</v>
      </c>
      <c r="D36" s="87">
        <f>$A$36*D$33-$E$6</f>
        <v>80.331595649999969</v>
      </c>
      <c r="E36" s="87">
        <f>$A$36*E$33-$E$6</f>
        <v>109.58159564999997</v>
      </c>
      <c r="F36" s="87">
        <f>$A$36*F$33-$E$6</f>
        <v>153.45659564999997</v>
      </c>
      <c r="H36" s="86">
        <f>Irrigated!H36</f>
        <v>5.25</v>
      </c>
      <c r="I36" s="87">
        <f>$H$36*I$33-$G$6</f>
        <v>17.203554425000021</v>
      </c>
      <c r="J36" s="87">
        <f>$H$36*J$33-$G$6</f>
        <v>60.516054425000021</v>
      </c>
      <c r="K36" s="87">
        <f>$H$36*K$33-$G$6</f>
        <v>89.391054425000021</v>
      </c>
      <c r="L36" s="87">
        <f>$H$36*L$33-$G$6</f>
        <v>118.26605442500008</v>
      </c>
      <c r="M36" s="87">
        <f>$H$36*M$33-$G$6</f>
        <v>161.57855442500002</v>
      </c>
    </row>
    <row r="37" spans="1:13" x14ac:dyDescent="0.2">
      <c r="A37" s="86">
        <f>Irrigated!A37</f>
        <v>11.212499999999999</v>
      </c>
      <c r="B37" s="87">
        <f>$A$37*B$33-$E$6</f>
        <v>40.11284564999994</v>
      </c>
      <c r="C37" s="87">
        <f>$A$37*C$33-$E$6</f>
        <v>90.569095649999923</v>
      </c>
      <c r="D37" s="87">
        <f>$A$37*D$33-$E$6</f>
        <v>124.20659564999991</v>
      </c>
      <c r="E37" s="87">
        <f>$A$37*E$33-$E$6</f>
        <v>157.8440956499999</v>
      </c>
      <c r="F37" s="87">
        <f>$A$37*F$33-$E$6</f>
        <v>208.30034564999991</v>
      </c>
      <c r="H37" s="86">
        <f>Irrigated!H37</f>
        <v>6.0374999999999996</v>
      </c>
      <c r="I37" s="87">
        <f>$H$37*I$33-$G$6</f>
        <v>49.687929424999993</v>
      </c>
      <c r="J37" s="87">
        <f>$H$37*J$33-$G$6</f>
        <v>99.49730442500001</v>
      </c>
      <c r="K37" s="87">
        <f>$H$37*K$33-$G$6</f>
        <v>132.70355442500002</v>
      </c>
      <c r="L37" s="87">
        <f>$H$37*L$33-$G$6</f>
        <v>165.90980442500003</v>
      </c>
      <c r="M37" s="87">
        <f>$H$37*M$33-$G$6</f>
        <v>215.71917942500002</v>
      </c>
    </row>
    <row r="38" spans="1:13" x14ac:dyDescent="0.2">
      <c r="A38" s="88">
        <f>Irrigated!A38</f>
        <v>12.675000000000001</v>
      </c>
      <c r="B38" s="89">
        <f>$A$38*B$33-$E$6</f>
        <v>73.019095649999969</v>
      </c>
      <c r="C38" s="89">
        <f>$A$38*C$33-$E$6</f>
        <v>130.05659564999999</v>
      </c>
      <c r="D38" s="89">
        <f>$A$38*D$33-$E$6</f>
        <v>168.08159564999997</v>
      </c>
      <c r="E38" s="89">
        <f>$A$38*E$33-$E$6</f>
        <v>206.10659565</v>
      </c>
      <c r="F38" s="89">
        <f>$A$38*F$33-$E$6</f>
        <v>263.14409564999994</v>
      </c>
      <c r="H38" s="88">
        <f>Irrigated!H38</f>
        <v>6.8250000000000002</v>
      </c>
      <c r="I38" s="89">
        <f>$H$38*I$33-$G$6</f>
        <v>82.172304425000021</v>
      </c>
      <c r="J38" s="89">
        <f>$H$38*J$33-$G$6</f>
        <v>138.47855442500006</v>
      </c>
      <c r="K38" s="89">
        <f>$H$38*K$33-$G$6</f>
        <v>176.01605442500002</v>
      </c>
      <c r="L38" s="89">
        <f>$H$38*L$33-$G$6</f>
        <v>213.5535544250001</v>
      </c>
      <c r="M38" s="89">
        <f>$H$38*M$33-$G$6</f>
        <v>269.85980442499999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ignoredErrors>
    <ignoredError sqref="A29:F29 A19:F19 A57:F57 A47:F4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Conventional</vt:lpstr>
      <vt:lpstr>Strip-Till</vt:lpstr>
      <vt:lpstr>Prices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Amanda R. Smith</cp:lastModifiedBy>
  <cp:lastPrinted>2014-12-30T16:18:19Z</cp:lastPrinted>
  <dcterms:created xsi:type="dcterms:W3CDTF">2007-11-26T00:37:18Z</dcterms:created>
  <dcterms:modified xsi:type="dcterms:W3CDTF">2015-01-14T16:06:45Z</dcterms:modified>
</cp:coreProperties>
</file>