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15600" windowHeight="9495" tabRatio="790"/>
  </bookViews>
  <sheets>
    <sheet name="Conventional" sheetId="1" r:id="rId1"/>
    <sheet name="Strip-Till" sheetId="2" r:id="rId2"/>
    <sheet name="Prices" sheetId="10" state="hidden" r:id="rId3"/>
    <sheet name="Peanut Price Calculator" sheetId="17" r:id="rId4"/>
    <sheet name="Price Comparison" sheetId="14" r:id="rId5"/>
    <sheet name="CTillCharts" sheetId="11" r:id="rId6"/>
    <sheet name="STillCharts" sheetId="16" r:id="rId7"/>
    <sheet name="Irrigated" sheetId="7" state="hidden" r:id="rId8"/>
    <sheet name="Dryland" sheetId="3" state="hidden" r:id="rId9"/>
    <sheet name="Irrigated ST" sheetId="9" state="hidden" r:id="rId10"/>
    <sheet name="Dryland ST" sheetId="8" state="hidden" r:id="rId11"/>
  </sheets>
  <definedNames>
    <definedName name="_xlnm.Print_Area" localSheetId="0">Conventional!$A$1:$Y$47</definedName>
    <definedName name="_xlnm.Print_Area" localSheetId="5">CTillCharts!$A$1:$M$408</definedName>
    <definedName name="_xlnm.Print_Area" localSheetId="8">Dryland!$A$6:$M$38</definedName>
    <definedName name="_xlnm.Print_Area" localSheetId="10">'Dryland ST'!$A$6:$M$38</definedName>
    <definedName name="_xlnm.Print_Area" localSheetId="7">Irrigated!$A$4:$M$38</definedName>
    <definedName name="_xlnm.Print_Area" localSheetId="9">'Irrigated ST'!$A$3:$M$38</definedName>
    <definedName name="_xlnm.Print_Area" localSheetId="3">'Peanut Price Calculator'!$A$9:$I$28</definedName>
    <definedName name="_xlnm.Print_Area" localSheetId="4">'Price Comparison'!$A$1:$I$18</definedName>
    <definedName name="_xlnm.Print_Area" localSheetId="6">STillCharts!$A$1:$M$408</definedName>
    <definedName name="_xlnm.Print_Area" localSheetId="1">'Strip-Till'!$A$1:$U$49</definedName>
    <definedName name="TVC" localSheetId="6">Dryland!#REF!</definedName>
    <definedName name="TVC">Dryland!#REF!</definedName>
    <definedName name="yield" localSheetId="6">Dryland!#REF!</definedName>
    <definedName name="yield">Dryland!#REF!</definedName>
  </definedNames>
  <calcPr calcId="145621"/>
</workbook>
</file>

<file path=xl/calcChain.xml><?xml version="1.0" encoding="utf-8"?>
<calcChain xmlns="http://schemas.openxmlformats.org/spreadsheetml/2006/main">
  <c r="A3" i="2" l="1"/>
  <c r="P16" i="2" l="1"/>
  <c r="F16" i="2"/>
  <c r="R15" i="1"/>
  <c r="F15" i="1"/>
  <c r="N16" i="2" l="1"/>
  <c r="D16" i="2"/>
  <c r="P15" i="1"/>
  <c r="D15" i="1"/>
  <c r="L21" i="1"/>
  <c r="T16" i="2" l="1"/>
  <c r="R21" i="2" l="1"/>
  <c r="R16" i="2"/>
  <c r="T35" i="2" l="1"/>
  <c r="J35" i="2"/>
  <c r="T21" i="2"/>
  <c r="J21" i="2"/>
  <c r="J16" i="2"/>
  <c r="J13" i="1"/>
  <c r="R35" i="2" l="1"/>
  <c r="H35" i="2"/>
  <c r="H21" i="2"/>
  <c r="H16" i="2"/>
  <c r="N35" i="2" l="1"/>
  <c r="D35" i="2"/>
  <c r="L21" i="2"/>
  <c r="N21" i="2"/>
  <c r="D21" i="2"/>
  <c r="N14" i="2"/>
  <c r="D14" i="2"/>
  <c r="P35" i="2" l="1"/>
  <c r="F35" i="2"/>
  <c r="P21" i="2"/>
  <c r="F21" i="2"/>
  <c r="B8" i="2" l="1"/>
  <c r="L35" i="2"/>
  <c r="V13" i="1"/>
  <c r="T13" i="1"/>
  <c r="R13" i="1"/>
  <c r="N13" i="1"/>
  <c r="B13" i="1"/>
  <c r="H13" i="1"/>
  <c r="B35" i="2"/>
  <c r="V20" i="1"/>
  <c r="T20" i="1" l="1"/>
  <c r="T15" i="1"/>
  <c r="D34" i="1" l="1"/>
  <c r="P34" i="1"/>
  <c r="P20" i="1"/>
  <c r="P13" i="1"/>
  <c r="X20" i="1" l="1"/>
  <c r="X15" i="1"/>
  <c r="X13" i="1"/>
  <c r="X34" i="1"/>
  <c r="L34" i="1" l="1"/>
  <c r="L20" i="1"/>
  <c r="L15" i="1"/>
  <c r="L13" i="1"/>
  <c r="V34" i="1" l="1"/>
  <c r="T34" i="1"/>
  <c r="N34" i="1"/>
  <c r="B34" i="1"/>
  <c r="R34" i="1"/>
  <c r="R20" i="1"/>
  <c r="H34" i="1" l="1"/>
  <c r="H20" i="1"/>
  <c r="H15" i="1"/>
  <c r="J34" i="1"/>
  <c r="J21" i="1"/>
  <c r="J20" i="1"/>
  <c r="F34" i="1"/>
  <c r="F20" i="1"/>
  <c r="F13" i="1"/>
  <c r="D20" i="1"/>
  <c r="D13" i="1"/>
  <c r="B21" i="2" l="1"/>
  <c r="N20" i="1"/>
  <c r="B20" i="1"/>
  <c r="D7" i="1" l="1"/>
  <c r="N18" i="2" l="1"/>
  <c r="L18" i="2"/>
  <c r="D18" i="2"/>
  <c r="B18" i="2"/>
  <c r="L16" i="2"/>
  <c r="B16" i="2"/>
  <c r="N15" i="1"/>
  <c r="B15" i="1"/>
  <c r="D19" i="2" l="1"/>
  <c r="B19" i="2"/>
  <c r="L19" i="2"/>
  <c r="N19" i="2"/>
  <c r="D19" i="1" l="1"/>
  <c r="P19" i="1"/>
  <c r="H11" i="2"/>
  <c r="H19" i="1"/>
  <c r="T19" i="1"/>
  <c r="R19" i="1"/>
  <c r="H21" i="1" l="1"/>
  <c r="F21" i="1"/>
  <c r="D21" i="1"/>
  <c r="B21" i="1"/>
  <c r="N19" i="1" l="1"/>
  <c r="L28" i="2"/>
  <c r="B28" i="2"/>
  <c r="N27" i="1"/>
  <c r="B27" i="1"/>
  <c r="B22" i="1"/>
  <c r="B19" i="1"/>
  <c r="B49" i="2"/>
  <c r="P20" i="2" s="1"/>
  <c r="H47" i="2"/>
  <c r="F47" i="2"/>
  <c r="B36" i="2"/>
  <c r="L13" i="2"/>
  <c r="B13" i="2"/>
  <c r="N12" i="1"/>
  <c r="B12" i="1"/>
  <c r="B24" i="2"/>
  <c r="D47" i="2"/>
  <c r="P7" i="1"/>
  <c r="D28" i="1"/>
  <c r="F24" i="2"/>
  <c r="H24" i="2"/>
  <c r="B12" i="2"/>
  <c r="A1" i="2"/>
  <c r="D36" i="2"/>
  <c r="F36" i="2"/>
  <c r="H36" i="2"/>
  <c r="J36" i="2"/>
  <c r="L22" i="1"/>
  <c r="L11" i="1"/>
  <c r="X22" i="1"/>
  <c r="J22" i="1"/>
  <c r="B4" i="9"/>
  <c r="B4" i="17"/>
  <c r="B6" i="17"/>
  <c r="N7" i="2"/>
  <c r="N29" i="2" s="1"/>
  <c r="D7" i="2"/>
  <c r="D30" i="2" s="1"/>
  <c r="A27" i="17"/>
  <c r="B28" i="17" s="1"/>
  <c r="P8" i="1" s="1"/>
  <c r="A16" i="17"/>
  <c r="B17" i="17"/>
  <c r="D8" i="1" s="1"/>
  <c r="P26" i="1"/>
  <c r="J19" i="1"/>
  <c r="J26" i="1" s="1"/>
  <c r="V19" i="1"/>
  <c r="V26" i="1" s="1"/>
  <c r="F19" i="1"/>
  <c r="F26" i="1" s="1"/>
  <c r="N24" i="2"/>
  <c r="P24" i="2"/>
  <c r="R24" i="2"/>
  <c r="T24" i="2"/>
  <c r="L24" i="2"/>
  <c r="D24" i="2"/>
  <c r="J24" i="2"/>
  <c r="X19" i="1"/>
  <c r="X26" i="1" s="1"/>
  <c r="X28" i="1"/>
  <c r="L28" i="1"/>
  <c r="L19" i="1"/>
  <c r="A48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F8" i="2"/>
  <c r="H8" i="2"/>
  <c r="E4" i="9" s="1"/>
  <c r="B406" i="11"/>
  <c r="B405" i="11"/>
  <c r="B371" i="11"/>
  <c r="B337" i="11"/>
  <c r="B336" i="11"/>
  <c r="B304" i="11"/>
  <c r="B303" i="11"/>
  <c r="B269" i="11"/>
  <c r="B236" i="11"/>
  <c r="B235" i="11"/>
  <c r="B201" i="11"/>
  <c r="B167" i="11"/>
  <c r="B133" i="11"/>
  <c r="B100" i="11"/>
  <c r="B99" i="11"/>
  <c r="B66" i="11"/>
  <c r="B65" i="11"/>
  <c r="B31" i="11"/>
  <c r="D67" i="10"/>
  <c r="E67" i="10"/>
  <c r="B67" i="10"/>
  <c r="E46" i="10"/>
  <c r="D46" i="10"/>
  <c r="B46" i="10"/>
  <c r="T77" i="10"/>
  <c r="T76" i="10" s="1"/>
  <c r="T75" i="10" s="1"/>
  <c r="T74" i="10" s="1"/>
  <c r="N77" i="10"/>
  <c r="N76" i="10" s="1"/>
  <c r="B77" i="10"/>
  <c r="B78" i="10" s="1"/>
  <c r="B79" i="10" s="1"/>
  <c r="T56" i="10"/>
  <c r="T57" i="10" s="1"/>
  <c r="T58" i="10" s="1"/>
  <c r="T59" i="10" s="1"/>
  <c r="N56" i="10"/>
  <c r="N57" i="10" s="1"/>
  <c r="B56" i="10"/>
  <c r="B57" i="10" s="1"/>
  <c r="B58" i="10" s="1"/>
  <c r="B35" i="10"/>
  <c r="B34" i="10" s="1"/>
  <c r="N14" i="10"/>
  <c r="N13" i="10" s="1"/>
  <c r="T14" i="10"/>
  <c r="T15" i="10" s="1"/>
  <c r="T35" i="10"/>
  <c r="T36" i="10" s="1"/>
  <c r="T37" i="10" s="1"/>
  <c r="N35" i="10"/>
  <c r="N36" i="10" s="1"/>
  <c r="N37" i="10" s="1"/>
  <c r="N38" i="10" s="1"/>
  <c r="N39" i="10" s="1"/>
  <c r="E25" i="10"/>
  <c r="D25" i="10"/>
  <c r="B25" i="10"/>
  <c r="B14" i="10"/>
  <c r="B13" i="10" s="1"/>
  <c r="E4" i="10"/>
  <c r="D4" i="10"/>
  <c r="C4" i="10"/>
  <c r="B4" i="10"/>
  <c r="D29" i="1"/>
  <c r="N8" i="1"/>
  <c r="B4" i="3" s="1"/>
  <c r="T29" i="2"/>
  <c r="P29" i="2"/>
  <c r="F29" i="2"/>
  <c r="J29" i="2"/>
  <c r="E4" i="7"/>
  <c r="A36" i="7" s="1"/>
  <c r="A36" i="8" s="1"/>
  <c r="R8" i="2"/>
  <c r="E4" i="8" s="1"/>
  <c r="D3" i="9"/>
  <c r="D13" i="9" s="1"/>
  <c r="E3" i="9"/>
  <c r="D33" i="9" s="1"/>
  <c r="B33" i="9" s="1"/>
  <c r="F3" i="9"/>
  <c r="D23" i="9" s="1"/>
  <c r="B3" i="9"/>
  <c r="K13" i="9" s="1"/>
  <c r="P8" i="2"/>
  <c r="D4" i="8" s="1"/>
  <c r="D5" i="8" s="1"/>
  <c r="L8" i="2"/>
  <c r="D3" i="8"/>
  <c r="E3" i="8"/>
  <c r="D33" i="8" s="1"/>
  <c r="F3" i="8"/>
  <c r="D23" i="8" s="1"/>
  <c r="B23" i="8" s="1"/>
  <c r="B3" i="8"/>
  <c r="K13" i="8" s="1"/>
  <c r="B2" i="8"/>
  <c r="C2" i="8"/>
  <c r="D2" i="8"/>
  <c r="E2" i="8"/>
  <c r="F2" i="8"/>
  <c r="D13" i="8"/>
  <c r="E13" i="8" s="1"/>
  <c r="B2" i="9"/>
  <c r="C2" i="9"/>
  <c r="D2" i="9"/>
  <c r="E2" i="9"/>
  <c r="F2" i="9"/>
  <c r="B2" i="7"/>
  <c r="C2" i="7"/>
  <c r="D2" i="7"/>
  <c r="E2" i="7"/>
  <c r="F2" i="7"/>
  <c r="G2" i="7"/>
  <c r="B3" i="7"/>
  <c r="K13" i="7" s="1"/>
  <c r="C3" i="7"/>
  <c r="K23" i="7" s="1"/>
  <c r="D3" i="7"/>
  <c r="D13" i="7" s="1"/>
  <c r="E3" i="7"/>
  <c r="F3" i="7"/>
  <c r="D23" i="7" s="1"/>
  <c r="G3" i="7"/>
  <c r="K33" i="7" s="1"/>
  <c r="I33" i="7" s="1"/>
  <c r="B4" i="7"/>
  <c r="H16" i="7" s="1"/>
  <c r="H16" i="9" s="1"/>
  <c r="D4" i="7"/>
  <c r="G4" i="7"/>
  <c r="H36" i="7" s="1"/>
  <c r="H38" i="7" s="1"/>
  <c r="H38" i="3" s="1"/>
  <c r="F28" i="1"/>
  <c r="J28" i="1"/>
  <c r="X8" i="1"/>
  <c r="G4" i="3" s="1"/>
  <c r="G3" i="3"/>
  <c r="K33" i="3" s="1"/>
  <c r="M33" i="3" s="1"/>
  <c r="F3" i="3"/>
  <c r="D23" i="3" s="1"/>
  <c r="V28" i="1"/>
  <c r="T8" i="1"/>
  <c r="T9" i="1" s="1"/>
  <c r="E3" i="3"/>
  <c r="D33" i="3" s="1"/>
  <c r="R8" i="1"/>
  <c r="R9" i="1" s="1"/>
  <c r="D3" i="3"/>
  <c r="D13" i="3" s="1"/>
  <c r="R28" i="1"/>
  <c r="B3" i="3"/>
  <c r="K13" i="3" s="1"/>
  <c r="B2" i="3"/>
  <c r="C2" i="3"/>
  <c r="D2" i="3"/>
  <c r="E2" i="3"/>
  <c r="F2" i="3"/>
  <c r="G2" i="3"/>
  <c r="L9" i="1"/>
  <c r="H9" i="1"/>
  <c r="B9" i="1"/>
  <c r="F9" i="1"/>
  <c r="R26" i="1"/>
  <c r="T26" i="1"/>
  <c r="D26" i="1"/>
  <c r="H26" i="1"/>
  <c r="H30" i="1" s="1"/>
  <c r="H37" i="1" s="1"/>
  <c r="H38" i="1" s="1"/>
  <c r="H40" i="1" s="1"/>
  <c r="H44" i="1" s="1"/>
  <c r="J20" i="2" l="1"/>
  <c r="T20" i="2"/>
  <c r="J22" i="2"/>
  <c r="R14" i="2"/>
  <c r="H14" i="2"/>
  <c r="J14" i="2"/>
  <c r="T14" i="2"/>
  <c r="B14" i="2"/>
  <c r="P14" i="2"/>
  <c r="P27" i="2" s="1"/>
  <c r="P31" i="2" s="1"/>
  <c r="D66" i="10" s="1"/>
  <c r="F14" i="2"/>
  <c r="L14" i="2"/>
  <c r="B201" i="16"/>
  <c r="B371" i="16"/>
  <c r="E5" i="9"/>
  <c r="B270" i="16"/>
  <c r="B134" i="16"/>
  <c r="C3" i="8"/>
  <c r="K23" i="8" s="1"/>
  <c r="I23" i="8" s="1"/>
  <c r="N30" i="2"/>
  <c r="V30" i="1"/>
  <c r="V37" i="1" s="1"/>
  <c r="V38" i="1" s="1"/>
  <c r="V40" i="1" s="1"/>
  <c r="V43" i="1" s="1"/>
  <c r="F23" i="7"/>
  <c r="E23" i="7"/>
  <c r="J30" i="1"/>
  <c r="J32" i="1" s="1"/>
  <c r="B23" i="7"/>
  <c r="X30" i="1"/>
  <c r="G6" i="3" s="1"/>
  <c r="R30" i="1"/>
  <c r="R31" i="1" s="1"/>
  <c r="T55" i="10"/>
  <c r="T54" i="10" s="1"/>
  <c r="L26" i="1"/>
  <c r="L30" i="1" s="1"/>
  <c r="L31" i="1" s="1"/>
  <c r="N78" i="10"/>
  <c r="N79" i="10" s="1"/>
  <c r="N80" i="10" s="1"/>
  <c r="H9" i="2"/>
  <c r="T13" i="10"/>
  <c r="T12" i="10" s="1"/>
  <c r="X9" i="1"/>
  <c r="G5" i="7"/>
  <c r="T78" i="10"/>
  <c r="T79" i="10" s="1"/>
  <c r="T80" i="10" s="1"/>
  <c r="T81" i="10" s="1"/>
  <c r="T82" i="10" s="1"/>
  <c r="T83" i="10" s="1"/>
  <c r="J33" i="7"/>
  <c r="L33" i="7"/>
  <c r="C23" i="7"/>
  <c r="N26" i="1"/>
  <c r="N30" i="1" s="1"/>
  <c r="B24" i="10" s="1"/>
  <c r="B20" i="2"/>
  <c r="L20" i="2"/>
  <c r="F20" i="2"/>
  <c r="E5" i="7"/>
  <c r="T34" i="10"/>
  <c r="T33" i="10" s="1"/>
  <c r="T32" i="10" s="1"/>
  <c r="H36" i="3"/>
  <c r="I13" i="7"/>
  <c r="M13" i="7"/>
  <c r="E13" i="7"/>
  <c r="F13" i="7"/>
  <c r="D5" i="7"/>
  <c r="F30" i="1"/>
  <c r="F32" i="1" s="1"/>
  <c r="H35" i="7"/>
  <c r="H35" i="3" s="1"/>
  <c r="H37" i="7"/>
  <c r="H37" i="3" s="1"/>
  <c r="H34" i="7"/>
  <c r="H34" i="3" s="1"/>
  <c r="D4" i="3"/>
  <c r="D5" i="3" s="1"/>
  <c r="C67" i="10"/>
  <c r="B202" i="16"/>
  <c r="B372" i="16"/>
  <c r="B168" i="16"/>
  <c r="B32" i="16"/>
  <c r="B55" i="10"/>
  <c r="B54" i="10" s="1"/>
  <c r="B53" i="10" s="1"/>
  <c r="N34" i="10"/>
  <c r="N33" i="10" s="1"/>
  <c r="N32" i="10" s="1"/>
  <c r="N31" i="10" s="1"/>
  <c r="A36" i="9"/>
  <c r="E5" i="8"/>
  <c r="F33" i="9"/>
  <c r="F23" i="9"/>
  <c r="C23" i="9"/>
  <c r="B23" i="9"/>
  <c r="E23" i="9"/>
  <c r="F33" i="8"/>
  <c r="C33" i="8"/>
  <c r="E33" i="8"/>
  <c r="B33" i="8"/>
  <c r="J13" i="8"/>
  <c r="I13" i="8"/>
  <c r="I13" i="9"/>
  <c r="M13" i="9"/>
  <c r="E23" i="8"/>
  <c r="E33" i="9"/>
  <c r="C13" i="9"/>
  <c r="B13" i="9"/>
  <c r="E13" i="9"/>
  <c r="F13" i="9"/>
  <c r="F13" i="8"/>
  <c r="F23" i="8"/>
  <c r="C33" i="9"/>
  <c r="C23" i="8"/>
  <c r="C13" i="8"/>
  <c r="B13" i="8"/>
  <c r="B5" i="9"/>
  <c r="L13" i="9"/>
  <c r="J13" i="9"/>
  <c r="B269" i="16"/>
  <c r="D29" i="2"/>
  <c r="L13" i="8"/>
  <c r="R9" i="2"/>
  <c r="M13" i="8"/>
  <c r="F13" i="3"/>
  <c r="C13" i="3"/>
  <c r="E13" i="3"/>
  <c r="B13" i="3"/>
  <c r="C33" i="3"/>
  <c r="B33" i="3"/>
  <c r="F33" i="3"/>
  <c r="E33" i="3"/>
  <c r="L13" i="3"/>
  <c r="J13" i="3"/>
  <c r="I13" i="3"/>
  <c r="M13" i="3"/>
  <c r="F23" i="3"/>
  <c r="B23" i="3"/>
  <c r="C23" i="3"/>
  <c r="E23" i="3"/>
  <c r="C13" i="7"/>
  <c r="B13" i="7"/>
  <c r="J33" i="3"/>
  <c r="A35" i="7"/>
  <c r="A38" i="7"/>
  <c r="A38" i="9" s="1"/>
  <c r="J13" i="7"/>
  <c r="M33" i="7"/>
  <c r="B202" i="11"/>
  <c r="P28" i="1"/>
  <c r="I33" i="3"/>
  <c r="N20" i="2"/>
  <c r="N27" i="2" s="1"/>
  <c r="N31" i="2" s="1"/>
  <c r="H20" i="2"/>
  <c r="D20" i="2"/>
  <c r="R20" i="2"/>
  <c r="D22" i="2"/>
  <c r="B22" i="2"/>
  <c r="H22" i="2"/>
  <c r="F22" i="2"/>
  <c r="A37" i="7"/>
  <c r="A37" i="3" s="1"/>
  <c r="P9" i="2"/>
  <c r="L33" i="3"/>
  <c r="L13" i="7"/>
  <c r="G5" i="3"/>
  <c r="B5" i="3"/>
  <c r="N55" i="10"/>
  <c r="N54" i="10" s="1"/>
  <c r="N53" i="10" s="1"/>
  <c r="N52" i="10" s="1"/>
  <c r="N51" i="10" s="1"/>
  <c r="D33" i="7"/>
  <c r="N9" i="1"/>
  <c r="H32" i="1"/>
  <c r="E3" i="10"/>
  <c r="T30" i="1"/>
  <c r="E24" i="10" s="1"/>
  <c r="N8" i="2"/>
  <c r="N9" i="2" s="1"/>
  <c r="C4" i="3"/>
  <c r="P9" i="1"/>
  <c r="D30" i="1"/>
  <c r="B372" i="11"/>
  <c r="B270" i="11"/>
  <c r="C3" i="3"/>
  <c r="B134" i="11"/>
  <c r="B32" i="11"/>
  <c r="B168" i="11"/>
  <c r="P29" i="1"/>
  <c r="C25" i="10"/>
  <c r="J23" i="7"/>
  <c r="I23" i="7"/>
  <c r="L23" i="7"/>
  <c r="M23" i="7"/>
  <c r="H77" i="10"/>
  <c r="H35" i="10"/>
  <c r="C4" i="7"/>
  <c r="H56" i="10"/>
  <c r="H14" i="10"/>
  <c r="D9" i="1"/>
  <c r="C3" i="9"/>
  <c r="B167" i="16"/>
  <c r="D8" i="2"/>
  <c r="B31" i="16"/>
  <c r="C46" i="10"/>
  <c r="B133" i="16"/>
  <c r="E6" i="7"/>
  <c r="B26" i="1"/>
  <c r="B30" i="1" s="1"/>
  <c r="B32" i="1" s="1"/>
  <c r="H41" i="1"/>
  <c r="H43" i="1"/>
  <c r="H31" i="1"/>
  <c r="H15" i="7"/>
  <c r="H15" i="3" s="1"/>
  <c r="B33" i="10"/>
  <c r="B32" i="10" s="1"/>
  <c r="B9" i="2"/>
  <c r="B76" i="10"/>
  <c r="B75" i="10" s="1"/>
  <c r="H16" i="8"/>
  <c r="H18" i="7"/>
  <c r="H17" i="7"/>
  <c r="H16" i="3"/>
  <c r="H14" i="7"/>
  <c r="B4" i="8"/>
  <c r="B5" i="8" s="1"/>
  <c r="L9" i="2"/>
  <c r="B15" i="10"/>
  <c r="B36" i="10"/>
  <c r="B80" i="10"/>
  <c r="B12" i="10"/>
  <c r="B59" i="10"/>
  <c r="B5" i="7"/>
  <c r="T16" i="10"/>
  <c r="T60" i="10"/>
  <c r="T38" i="10"/>
  <c r="A36" i="3"/>
  <c r="A34" i="7"/>
  <c r="E4" i="3"/>
  <c r="E5" i="3" s="1"/>
  <c r="T73" i="10"/>
  <c r="N12" i="10"/>
  <c r="V8" i="1"/>
  <c r="F4" i="7"/>
  <c r="J8" i="2"/>
  <c r="J9" i="1"/>
  <c r="T8" i="2"/>
  <c r="N40" i="10"/>
  <c r="F9" i="2"/>
  <c r="N75" i="10"/>
  <c r="D4" i="9"/>
  <c r="D5" i="9" s="1"/>
  <c r="N15" i="10"/>
  <c r="N58" i="10"/>
  <c r="A16" i="7"/>
  <c r="T27" i="2" l="1"/>
  <c r="T31" i="2" s="1"/>
  <c r="T38" i="2" s="1"/>
  <c r="T39" i="2" s="1"/>
  <c r="T41" i="2" s="1"/>
  <c r="T44" i="2" s="1"/>
  <c r="J37" i="1"/>
  <c r="J38" i="1" s="1"/>
  <c r="J40" i="1" s="1"/>
  <c r="J43" i="1" s="1"/>
  <c r="F6" i="7"/>
  <c r="V32" i="1"/>
  <c r="F6" i="3"/>
  <c r="J23" i="8"/>
  <c r="L23" i="8"/>
  <c r="M23" i="8"/>
  <c r="X31" i="1"/>
  <c r="X32" i="1"/>
  <c r="X37" i="1"/>
  <c r="X38" i="1" s="1"/>
  <c r="X40" i="1" s="1"/>
  <c r="X43" i="1" s="1"/>
  <c r="D6" i="3"/>
  <c r="R32" i="1"/>
  <c r="R37" i="1"/>
  <c r="R38" i="1" s="1"/>
  <c r="R40" i="1" s="1"/>
  <c r="R44" i="1" s="1"/>
  <c r="D24" i="10"/>
  <c r="L38" i="10" s="1"/>
  <c r="K34" i="3"/>
  <c r="L27" i="2"/>
  <c r="L31" i="2" s="1"/>
  <c r="B6" i="8" s="1"/>
  <c r="L16" i="8" s="1"/>
  <c r="N31" i="1"/>
  <c r="P30" i="1"/>
  <c r="P32" i="1" s="1"/>
  <c r="A37" i="9"/>
  <c r="N37" i="1"/>
  <c r="N38" i="1" s="1"/>
  <c r="N40" i="1" s="1"/>
  <c r="N44" i="1" s="1"/>
  <c r="N32" i="1"/>
  <c r="B6" i="3"/>
  <c r="K16" i="3" s="1"/>
  <c r="B27" i="2"/>
  <c r="B31" i="2" s="1"/>
  <c r="B38" i="2" s="1"/>
  <c r="B39" i="2" s="1"/>
  <c r="B41" i="2" s="1"/>
  <c r="B42" i="2" s="1"/>
  <c r="H15" i="9"/>
  <c r="R27" i="2"/>
  <c r="R31" i="2" s="1"/>
  <c r="E6" i="8" s="1"/>
  <c r="F37" i="1"/>
  <c r="F38" i="1" s="1"/>
  <c r="F40" i="1" s="1"/>
  <c r="F43" i="1" s="1"/>
  <c r="D3" i="10"/>
  <c r="S13" i="10" s="1"/>
  <c r="D6" i="7"/>
  <c r="F16" i="7" s="1"/>
  <c r="F31" i="1"/>
  <c r="H15" i="8"/>
  <c r="F27" i="2"/>
  <c r="F31" i="2" s="1"/>
  <c r="D45" i="10" s="1"/>
  <c r="D27" i="2"/>
  <c r="D31" i="2" s="1"/>
  <c r="C6" i="9" s="1"/>
  <c r="H27" i="2"/>
  <c r="H31" i="2" s="1"/>
  <c r="H33" i="2" s="1"/>
  <c r="J27" i="2"/>
  <c r="J31" i="2" s="1"/>
  <c r="F6" i="9" s="1"/>
  <c r="A38" i="8"/>
  <c r="J37" i="3"/>
  <c r="A38" i="3"/>
  <c r="A37" i="8"/>
  <c r="C33" i="7"/>
  <c r="C34" i="7" s="1"/>
  <c r="F33" i="7"/>
  <c r="F34" i="7" s="1"/>
  <c r="B33" i="7"/>
  <c r="B36" i="7" s="1"/>
  <c r="E33" i="7"/>
  <c r="E35" i="7" s="1"/>
  <c r="A35" i="9"/>
  <c r="A35" i="3"/>
  <c r="A35" i="8"/>
  <c r="C4" i="8"/>
  <c r="C5" i="8" s="1"/>
  <c r="J35" i="3"/>
  <c r="I37" i="3"/>
  <c r="K35" i="3"/>
  <c r="I38" i="3"/>
  <c r="I35" i="3"/>
  <c r="M34" i="3"/>
  <c r="L35" i="3"/>
  <c r="I34" i="3"/>
  <c r="L38" i="3"/>
  <c r="L34" i="3"/>
  <c r="K37" i="3"/>
  <c r="J34" i="3"/>
  <c r="K38" i="3"/>
  <c r="M35" i="3"/>
  <c r="Q37" i="10"/>
  <c r="D37" i="7"/>
  <c r="T31" i="1"/>
  <c r="T32" i="1"/>
  <c r="T37" i="1"/>
  <c r="T38" i="1" s="1"/>
  <c r="T40" i="1" s="1"/>
  <c r="E6" i="3"/>
  <c r="E37" i="3" s="1"/>
  <c r="D35" i="7"/>
  <c r="D38" i="7"/>
  <c r="D31" i="1"/>
  <c r="B31" i="1"/>
  <c r="D37" i="1"/>
  <c r="D38" i="1" s="1"/>
  <c r="D40" i="1" s="1"/>
  <c r="D41" i="1" s="1"/>
  <c r="C3" i="10"/>
  <c r="J14" i="10" s="1"/>
  <c r="D32" i="1"/>
  <c r="C6" i="7"/>
  <c r="C5" i="3"/>
  <c r="K23" i="3"/>
  <c r="H36" i="10"/>
  <c r="H37" i="10" s="1"/>
  <c r="H38" i="10" s="1"/>
  <c r="H39" i="10" s="1"/>
  <c r="H40" i="10" s="1"/>
  <c r="H41" i="10" s="1"/>
  <c r="H42" i="10" s="1"/>
  <c r="H34" i="10"/>
  <c r="H33" i="10" s="1"/>
  <c r="H32" i="10" s="1"/>
  <c r="H31" i="10" s="1"/>
  <c r="H30" i="10" s="1"/>
  <c r="H29" i="10" s="1"/>
  <c r="H28" i="10" s="1"/>
  <c r="D9" i="2"/>
  <c r="C4" i="9"/>
  <c r="C5" i="9" s="1"/>
  <c r="H57" i="10"/>
  <c r="H58" i="10" s="1"/>
  <c r="H59" i="10" s="1"/>
  <c r="H60" i="10" s="1"/>
  <c r="H61" i="10" s="1"/>
  <c r="H62" i="10" s="1"/>
  <c r="H63" i="10" s="1"/>
  <c r="H55" i="10"/>
  <c r="H54" i="10" s="1"/>
  <c r="H53" i="10" s="1"/>
  <c r="H52" i="10" s="1"/>
  <c r="H51" i="10" s="1"/>
  <c r="H50" i="10" s="1"/>
  <c r="H49" i="10" s="1"/>
  <c r="C5" i="7"/>
  <c r="H26" i="7"/>
  <c r="K23" i="9"/>
  <c r="H78" i="10"/>
  <c r="H79" i="10" s="1"/>
  <c r="H80" i="10" s="1"/>
  <c r="H81" i="10" s="1"/>
  <c r="H82" i="10" s="1"/>
  <c r="H83" i="10" s="1"/>
  <c r="H84" i="10" s="1"/>
  <c r="H76" i="10"/>
  <c r="H75" i="10" s="1"/>
  <c r="H74" i="10" s="1"/>
  <c r="H73" i="10" s="1"/>
  <c r="H72" i="10" s="1"/>
  <c r="H71" i="10" s="1"/>
  <c r="H70" i="10" s="1"/>
  <c r="H15" i="10"/>
  <c r="H13" i="10"/>
  <c r="D6" i="8"/>
  <c r="P32" i="2"/>
  <c r="B3" i="10"/>
  <c r="E35" i="10"/>
  <c r="B37" i="1"/>
  <c r="B38" i="1" s="1"/>
  <c r="B40" i="1" s="1"/>
  <c r="B41" i="1" s="1"/>
  <c r="Q33" i="10"/>
  <c r="E34" i="10"/>
  <c r="P38" i="2"/>
  <c r="P39" i="2" s="1"/>
  <c r="P41" i="2" s="1"/>
  <c r="P44" i="2" s="1"/>
  <c r="B6" i="7"/>
  <c r="K17" i="7" s="1"/>
  <c r="N33" i="2"/>
  <c r="C6" i="8"/>
  <c r="C66" i="10"/>
  <c r="M76" i="10" s="1"/>
  <c r="N32" i="2"/>
  <c r="N38" i="2"/>
  <c r="N39" i="2" s="1"/>
  <c r="N41" i="2" s="1"/>
  <c r="D36" i="7"/>
  <c r="P33" i="2"/>
  <c r="L32" i="1"/>
  <c r="G6" i="7"/>
  <c r="L37" i="1"/>
  <c r="L38" i="1" s="1"/>
  <c r="L40" i="1" s="1"/>
  <c r="Q36" i="10"/>
  <c r="Q35" i="10"/>
  <c r="J44" i="1"/>
  <c r="Q34" i="10"/>
  <c r="J38" i="3"/>
  <c r="I36" i="3"/>
  <c r="M37" i="3"/>
  <c r="K36" i="3"/>
  <c r="M36" i="3"/>
  <c r="M38" i="3"/>
  <c r="J36" i="3"/>
  <c r="L36" i="3"/>
  <c r="L37" i="3"/>
  <c r="E33" i="10"/>
  <c r="H14" i="8"/>
  <c r="H14" i="3"/>
  <c r="H14" i="9"/>
  <c r="B60" i="10"/>
  <c r="B81" i="10"/>
  <c r="B16" i="10"/>
  <c r="B74" i="10"/>
  <c r="B11" i="10"/>
  <c r="B52" i="10"/>
  <c r="H17" i="8"/>
  <c r="H17" i="9"/>
  <c r="H17" i="3"/>
  <c r="H18" i="9"/>
  <c r="H18" i="3"/>
  <c r="H18" i="8"/>
  <c r="E36" i="10"/>
  <c r="B37" i="10"/>
  <c r="E32" i="10"/>
  <c r="B31" i="10"/>
  <c r="T31" i="10"/>
  <c r="Q32" i="10"/>
  <c r="T17" i="10"/>
  <c r="T53" i="10"/>
  <c r="T72" i="10"/>
  <c r="T11" i="10"/>
  <c r="Q38" i="10"/>
  <c r="T39" i="10"/>
  <c r="T61" i="10"/>
  <c r="A34" i="9"/>
  <c r="A34" i="3"/>
  <c r="A34" i="8"/>
  <c r="D34" i="7"/>
  <c r="T84" i="10"/>
  <c r="A17" i="7"/>
  <c r="A15" i="7"/>
  <c r="A14" i="7"/>
  <c r="A16" i="3"/>
  <c r="A16" i="9"/>
  <c r="A16" i="8"/>
  <c r="A18" i="7"/>
  <c r="N11" i="10"/>
  <c r="N16" i="10"/>
  <c r="N81" i="10"/>
  <c r="N74" i="10"/>
  <c r="N30" i="10"/>
  <c r="F4" i="8"/>
  <c r="F5" i="8" s="1"/>
  <c r="T9" i="2"/>
  <c r="F4" i="9"/>
  <c r="F5" i="9" s="1"/>
  <c r="J9" i="2"/>
  <c r="J31" i="1"/>
  <c r="N59" i="10"/>
  <c r="A26" i="7"/>
  <c r="F5" i="7"/>
  <c r="N41" i="10"/>
  <c r="F4" i="3"/>
  <c r="F5" i="3" s="1"/>
  <c r="V9" i="1"/>
  <c r="V44" i="1"/>
  <c r="N50" i="10"/>
  <c r="F6" i="8" l="1"/>
  <c r="T33" i="2"/>
  <c r="T45" i="2"/>
  <c r="J41" i="1"/>
  <c r="X44" i="1"/>
  <c r="R41" i="1"/>
  <c r="D34" i="10"/>
  <c r="S33" i="10"/>
  <c r="L32" i="10"/>
  <c r="L40" i="10"/>
  <c r="O40" i="10"/>
  <c r="X41" i="1"/>
  <c r="S36" i="10"/>
  <c r="S35" i="10"/>
  <c r="O37" i="10"/>
  <c r="L35" i="10"/>
  <c r="L39" i="10"/>
  <c r="S37" i="10"/>
  <c r="S32" i="10"/>
  <c r="O35" i="10"/>
  <c r="O36" i="10"/>
  <c r="O33" i="10"/>
  <c r="D35" i="10"/>
  <c r="L33" i="10"/>
  <c r="S38" i="10"/>
  <c r="O34" i="10"/>
  <c r="L37" i="10"/>
  <c r="L34" i="10"/>
  <c r="L31" i="10"/>
  <c r="D32" i="10"/>
  <c r="O39" i="10"/>
  <c r="O32" i="10"/>
  <c r="S34" i="10"/>
  <c r="O31" i="10"/>
  <c r="L36" i="10"/>
  <c r="D36" i="10"/>
  <c r="D33" i="10"/>
  <c r="O38" i="10"/>
  <c r="R43" i="1"/>
  <c r="L33" i="2"/>
  <c r="C6" i="3"/>
  <c r="N43" i="1"/>
  <c r="E37" i="7"/>
  <c r="E38" i="7"/>
  <c r="B66" i="10"/>
  <c r="L78" i="10" s="1"/>
  <c r="F35" i="7"/>
  <c r="L38" i="2"/>
  <c r="L39" i="2" s="1"/>
  <c r="L41" i="2" s="1"/>
  <c r="L42" i="2" s="1"/>
  <c r="L32" i="2"/>
  <c r="C24" i="10"/>
  <c r="R34" i="10" s="1"/>
  <c r="P37" i="1"/>
  <c r="P38" i="1" s="1"/>
  <c r="P40" i="1" s="1"/>
  <c r="P44" i="1" s="1"/>
  <c r="E36" i="7"/>
  <c r="P31" i="1"/>
  <c r="B37" i="7"/>
  <c r="B34" i="7"/>
  <c r="R32" i="2"/>
  <c r="E45" i="10"/>
  <c r="O51" i="10" s="1"/>
  <c r="B35" i="7"/>
  <c r="B38" i="7"/>
  <c r="C38" i="7"/>
  <c r="R33" i="2"/>
  <c r="H38" i="2"/>
  <c r="H39" i="2" s="1"/>
  <c r="H41" i="2" s="1"/>
  <c r="H42" i="2" s="1"/>
  <c r="H32" i="2"/>
  <c r="R38" i="2"/>
  <c r="R39" i="2" s="1"/>
  <c r="R41" i="2" s="1"/>
  <c r="R44" i="2" s="1"/>
  <c r="F44" i="1"/>
  <c r="J15" i="3"/>
  <c r="I15" i="3"/>
  <c r="L15" i="3"/>
  <c r="I16" i="3"/>
  <c r="N41" i="1"/>
  <c r="M16" i="3"/>
  <c r="F41" i="1"/>
  <c r="K15" i="3"/>
  <c r="L16" i="3"/>
  <c r="J16" i="3"/>
  <c r="B45" i="10"/>
  <c r="D53" i="10" s="1"/>
  <c r="B33" i="2"/>
  <c r="M15" i="3"/>
  <c r="B6" i="9"/>
  <c r="J15" i="9" s="1"/>
  <c r="B32" i="2"/>
  <c r="E66" i="10"/>
  <c r="S73" i="10" s="1"/>
  <c r="S12" i="10"/>
  <c r="S15" i="10"/>
  <c r="S14" i="10"/>
  <c r="D15" i="10"/>
  <c r="E6" i="9"/>
  <c r="B37" i="9" s="1"/>
  <c r="O15" i="10"/>
  <c r="O13" i="10"/>
  <c r="O12" i="10"/>
  <c r="S16" i="10"/>
  <c r="E16" i="7"/>
  <c r="O14" i="10"/>
  <c r="Q16" i="10"/>
  <c r="B16" i="7"/>
  <c r="D16" i="7"/>
  <c r="C16" i="7"/>
  <c r="C45" i="10"/>
  <c r="J38" i="2"/>
  <c r="J39" i="2" s="1"/>
  <c r="J41" i="2" s="1"/>
  <c r="J44" i="2" s="1"/>
  <c r="J33" i="2"/>
  <c r="D33" i="2"/>
  <c r="L13" i="10"/>
  <c r="Q12" i="10"/>
  <c r="L14" i="10"/>
  <c r="C35" i="7"/>
  <c r="F32" i="2"/>
  <c r="F38" i="7"/>
  <c r="D32" i="2"/>
  <c r="E34" i="7"/>
  <c r="I14" i="7"/>
  <c r="F36" i="7"/>
  <c r="C36" i="7"/>
  <c r="D38" i="2"/>
  <c r="D39" i="2" s="1"/>
  <c r="D41" i="2" s="1"/>
  <c r="D44" i="2" s="1"/>
  <c r="B35" i="8"/>
  <c r="F37" i="7"/>
  <c r="C37" i="7"/>
  <c r="D6" i="9"/>
  <c r="D16" i="9" s="1"/>
  <c r="F33" i="2"/>
  <c r="F38" i="2"/>
  <c r="F39" i="2" s="1"/>
  <c r="F41" i="2" s="1"/>
  <c r="E15" i="10"/>
  <c r="I17" i="7"/>
  <c r="L12" i="10"/>
  <c r="J18" i="7"/>
  <c r="F36" i="3"/>
  <c r="F37" i="3"/>
  <c r="E36" i="3"/>
  <c r="E38" i="3"/>
  <c r="D36" i="3"/>
  <c r="C38" i="3"/>
  <c r="F35" i="3"/>
  <c r="E35" i="3"/>
  <c r="D37" i="3"/>
  <c r="D38" i="3"/>
  <c r="B37" i="3"/>
  <c r="D35" i="8"/>
  <c r="C35" i="3"/>
  <c r="B38" i="3"/>
  <c r="C37" i="3"/>
  <c r="B36" i="3"/>
  <c r="F38" i="3"/>
  <c r="C36" i="3"/>
  <c r="D35" i="3"/>
  <c r="B35" i="3"/>
  <c r="T43" i="1"/>
  <c r="T44" i="1"/>
  <c r="T41" i="1"/>
  <c r="M16" i="8"/>
  <c r="L15" i="8"/>
  <c r="D44" i="1"/>
  <c r="L15" i="10"/>
  <c r="E12" i="10"/>
  <c r="D12" i="10"/>
  <c r="G15" i="10"/>
  <c r="R12" i="10"/>
  <c r="R16" i="10"/>
  <c r="M12" i="10"/>
  <c r="M79" i="10"/>
  <c r="I70" i="10"/>
  <c r="I77" i="10"/>
  <c r="C12" i="10"/>
  <c r="C15" i="10"/>
  <c r="M15" i="10"/>
  <c r="G13" i="10"/>
  <c r="G14" i="10"/>
  <c r="M14" i="10"/>
  <c r="I15" i="10"/>
  <c r="M13" i="10"/>
  <c r="R13" i="10"/>
  <c r="D43" i="1"/>
  <c r="I14" i="10"/>
  <c r="R14" i="10"/>
  <c r="R15" i="10"/>
  <c r="I76" i="10"/>
  <c r="I83" i="10"/>
  <c r="M75" i="10"/>
  <c r="M77" i="10"/>
  <c r="I84" i="10"/>
  <c r="J23" i="3"/>
  <c r="I23" i="3"/>
  <c r="L23" i="3"/>
  <c r="M23" i="3"/>
  <c r="I74" i="10"/>
  <c r="M80" i="10"/>
  <c r="I75" i="10"/>
  <c r="I82" i="10"/>
  <c r="I81" i="10"/>
  <c r="I72" i="10"/>
  <c r="I23" i="9"/>
  <c r="M23" i="9"/>
  <c r="L23" i="9"/>
  <c r="J23" i="9"/>
  <c r="I73" i="10"/>
  <c r="I78" i="10"/>
  <c r="J13" i="10"/>
  <c r="H12" i="10"/>
  <c r="H25" i="7"/>
  <c r="H27" i="7"/>
  <c r="H26" i="9"/>
  <c r="H28" i="7"/>
  <c r="H26" i="8"/>
  <c r="L26" i="8" s="1"/>
  <c r="H24" i="7"/>
  <c r="H26" i="3"/>
  <c r="M26" i="7"/>
  <c r="K26" i="7"/>
  <c r="I26" i="7"/>
  <c r="L26" i="7"/>
  <c r="J26" i="7"/>
  <c r="I13" i="10"/>
  <c r="I80" i="10"/>
  <c r="I71" i="10"/>
  <c r="H16" i="10"/>
  <c r="J15" i="10"/>
  <c r="I79" i="10"/>
  <c r="K18" i="7"/>
  <c r="M17" i="7"/>
  <c r="L16" i="7"/>
  <c r="K16" i="8"/>
  <c r="M18" i="7"/>
  <c r="L17" i="7"/>
  <c r="K14" i="7"/>
  <c r="Q13" i="10"/>
  <c r="C13" i="10"/>
  <c r="C14" i="10"/>
  <c r="E13" i="10"/>
  <c r="Q15" i="10"/>
  <c r="D14" i="10"/>
  <c r="D13" i="10"/>
  <c r="E14" i="10"/>
  <c r="Q14" i="10"/>
  <c r="B43" i="1"/>
  <c r="L18" i="7"/>
  <c r="L44" i="1"/>
  <c r="L43" i="1"/>
  <c r="L41" i="1"/>
  <c r="E38" i="8"/>
  <c r="M15" i="8"/>
  <c r="P42" i="2"/>
  <c r="P45" i="2"/>
  <c r="I35" i="7"/>
  <c r="I34" i="7"/>
  <c r="L36" i="7"/>
  <c r="L34" i="7"/>
  <c r="J37" i="7"/>
  <c r="I38" i="7"/>
  <c r="J38" i="7"/>
  <c r="I36" i="7"/>
  <c r="K35" i="7"/>
  <c r="L37" i="7"/>
  <c r="M38" i="7"/>
  <c r="J35" i="7"/>
  <c r="K34" i="7"/>
  <c r="K38" i="7"/>
  <c r="M35" i="7"/>
  <c r="L35" i="7"/>
  <c r="L38" i="7"/>
  <c r="M34" i="7"/>
  <c r="K36" i="7"/>
  <c r="J34" i="7"/>
  <c r="M37" i="7"/>
  <c r="K37" i="7"/>
  <c r="M36" i="7"/>
  <c r="I37" i="7"/>
  <c r="J36" i="7"/>
  <c r="N44" i="2"/>
  <c r="N42" i="2"/>
  <c r="N45" i="2"/>
  <c r="M78" i="10"/>
  <c r="M16" i="7"/>
  <c r="M15" i="7"/>
  <c r="I16" i="7"/>
  <c r="I15" i="7"/>
  <c r="K15" i="7"/>
  <c r="K16" i="7"/>
  <c r="L15" i="7"/>
  <c r="L14" i="7"/>
  <c r="J15" i="7"/>
  <c r="B38" i="8"/>
  <c r="B37" i="8"/>
  <c r="J17" i="7"/>
  <c r="K15" i="8"/>
  <c r="J14" i="7"/>
  <c r="B44" i="1"/>
  <c r="J16" i="7"/>
  <c r="J16" i="8"/>
  <c r="I18" i="7"/>
  <c r="I15" i="8"/>
  <c r="M14" i="7"/>
  <c r="F36" i="8"/>
  <c r="C36" i="8"/>
  <c r="E36" i="8"/>
  <c r="D36" i="8"/>
  <c r="B36" i="8"/>
  <c r="C38" i="8"/>
  <c r="C37" i="8"/>
  <c r="F37" i="8"/>
  <c r="I16" i="8"/>
  <c r="J15" i="8"/>
  <c r="E37" i="8"/>
  <c r="F35" i="8"/>
  <c r="F38" i="8"/>
  <c r="D37" i="8"/>
  <c r="C35" i="8"/>
  <c r="B44" i="2"/>
  <c r="B45" i="2"/>
  <c r="E35" i="8"/>
  <c r="D38" i="8"/>
  <c r="M17" i="8"/>
  <c r="I17" i="8"/>
  <c r="L17" i="8"/>
  <c r="J17" i="8"/>
  <c r="K17" i="8"/>
  <c r="B61" i="10"/>
  <c r="B73" i="10"/>
  <c r="B82" i="10"/>
  <c r="K14" i="3"/>
  <c r="J14" i="3"/>
  <c r="M14" i="3"/>
  <c r="I14" i="3"/>
  <c r="L14" i="3"/>
  <c r="D37" i="10"/>
  <c r="B38" i="10"/>
  <c r="E37" i="10"/>
  <c r="M17" i="3"/>
  <c r="J17" i="3"/>
  <c r="K17" i="3"/>
  <c r="I17" i="3"/>
  <c r="L17" i="3"/>
  <c r="E16" i="10"/>
  <c r="C16" i="10"/>
  <c r="D16" i="10"/>
  <c r="B17" i="10"/>
  <c r="D11" i="10"/>
  <c r="B10" i="10"/>
  <c r="E11" i="10"/>
  <c r="C11" i="10"/>
  <c r="L18" i="3"/>
  <c r="M18" i="3"/>
  <c r="J18" i="3"/>
  <c r="K18" i="3"/>
  <c r="I18" i="3"/>
  <c r="I18" i="8"/>
  <c r="K18" i="8"/>
  <c r="J18" i="8"/>
  <c r="M18" i="8"/>
  <c r="L18" i="8"/>
  <c r="K14" i="8"/>
  <c r="M14" i="8"/>
  <c r="L14" i="8"/>
  <c r="J14" i="8"/>
  <c r="I14" i="8"/>
  <c r="D31" i="10"/>
  <c r="B30" i="10"/>
  <c r="E31" i="10"/>
  <c r="B51" i="10"/>
  <c r="D34" i="3"/>
  <c r="B34" i="3"/>
  <c r="C34" i="3"/>
  <c r="F34" i="3"/>
  <c r="E34" i="3"/>
  <c r="T18" i="10"/>
  <c r="S17" i="10"/>
  <c r="R17" i="10"/>
  <c r="Q17" i="10"/>
  <c r="Q39" i="10"/>
  <c r="S39" i="10"/>
  <c r="T40" i="10"/>
  <c r="T71" i="10"/>
  <c r="F34" i="8"/>
  <c r="C34" i="8"/>
  <c r="E34" i="8"/>
  <c r="B34" i="8"/>
  <c r="D34" i="8"/>
  <c r="T10" i="10"/>
  <c r="R11" i="10"/>
  <c r="S11" i="10"/>
  <c r="Q11" i="10"/>
  <c r="T62" i="10"/>
  <c r="T52" i="10"/>
  <c r="Q31" i="10"/>
  <c r="S31" i="10"/>
  <c r="T30" i="10"/>
  <c r="N10" i="10"/>
  <c r="L11" i="10"/>
  <c r="O11" i="10"/>
  <c r="M11" i="10"/>
  <c r="B14" i="7"/>
  <c r="A14" i="8"/>
  <c r="E14" i="7"/>
  <c r="A14" i="3"/>
  <c r="D14" i="7"/>
  <c r="C14" i="7"/>
  <c r="A14" i="9"/>
  <c r="F14" i="7"/>
  <c r="L41" i="10"/>
  <c r="N42" i="10"/>
  <c r="O41" i="10"/>
  <c r="N49" i="10"/>
  <c r="N82" i="10"/>
  <c r="M81" i="10"/>
  <c r="C26" i="7"/>
  <c r="A26" i="9"/>
  <c r="F26" i="7"/>
  <c r="A27" i="7"/>
  <c r="A25" i="7"/>
  <c r="A24" i="7"/>
  <c r="A26" i="3"/>
  <c r="B26" i="7"/>
  <c r="A28" i="7"/>
  <c r="A26" i="8"/>
  <c r="E26" i="7"/>
  <c r="D26" i="7"/>
  <c r="J32" i="2"/>
  <c r="O30" i="10"/>
  <c r="N29" i="10"/>
  <c r="L30" i="10"/>
  <c r="V31" i="1"/>
  <c r="V41" i="1"/>
  <c r="A18" i="8"/>
  <c r="A18" i="3"/>
  <c r="C18" i="7"/>
  <c r="A18" i="9"/>
  <c r="B18" i="7"/>
  <c r="D18" i="7"/>
  <c r="F18" i="7"/>
  <c r="E18" i="7"/>
  <c r="A15" i="8"/>
  <c r="A15" i="3"/>
  <c r="D15" i="7"/>
  <c r="C15" i="7"/>
  <c r="B15" i="7"/>
  <c r="A15" i="9"/>
  <c r="F15" i="7"/>
  <c r="E15" i="7"/>
  <c r="M74" i="10"/>
  <c r="N73" i="10"/>
  <c r="E16" i="3"/>
  <c r="D16" i="3"/>
  <c r="B16" i="3"/>
  <c r="C16" i="3"/>
  <c r="F16" i="3"/>
  <c r="T32" i="2"/>
  <c r="T42" i="2"/>
  <c r="N17" i="10"/>
  <c r="M16" i="10"/>
  <c r="O16" i="10"/>
  <c r="L16" i="10"/>
  <c r="C16" i="8"/>
  <c r="B16" i="8"/>
  <c r="F16" i="8"/>
  <c r="E16" i="8"/>
  <c r="D16" i="8"/>
  <c r="N60" i="10"/>
  <c r="A17" i="9"/>
  <c r="E17" i="7"/>
  <c r="D17" i="7"/>
  <c r="A17" i="8"/>
  <c r="B17" i="7"/>
  <c r="A17" i="3"/>
  <c r="F17" i="7"/>
  <c r="C17" i="7"/>
  <c r="J31" i="10" l="1"/>
  <c r="P43" i="1"/>
  <c r="J38" i="10"/>
  <c r="J33" i="10"/>
  <c r="M41" i="10"/>
  <c r="I33" i="10"/>
  <c r="I36" i="10"/>
  <c r="I28" i="10"/>
  <c r="I34" i="10"/>
  <c r="D74" i="10"/>
  <c r="G82" i="10"/>
  <c r="O57" i="10"/>
  <c r="L45" i="2"/>
  <c r="D81" i="10"/>
  <c r="G79" i="10"/>
  <c r="D75" i="10"/>
  <c r="G28" i="10"/>
  <c r="G71" i="10"/>
  <c r="G83" i="10"/>
  <c r="C75" i="10"/>
  <c r="D79" i="10"/>
  <c r="G80" i="10"/>
  <c r="D80" i="10"/>
  <c r="G81" i="10"/>
  <c r="C77" i="10"/>
  <c r="C81" i="10"/>
  <c r="C78" i="10"/>
  <c r="G74" i="10"/>
  <c r="D76" i="10"/>
  <c r="C79" i="10"/>
  <c r="G77" i="10"/>
  <c r="L75" i="10"/>
  <c r="L77" i="10"/>
  <c r="P41" i="1"/>
  <c r="R45" i="2"/>
  <c r="M39" i="10"/>
  <c r="G30" i="10"/>
  <c r="C34" i="10"/>
  <c r="J41" i="10"/>
  <c r="R35" i="10"/>
  <c r="M33" i="10"/>
  <c r="M36" i="10"/>
  <c r="G29" i="10"/>
  <c r="G36" i="10"/>
  <c r="M35" i="10"/>
  <c r="M30" i="10"/>
  <c r="C74" i="10"/>
  <c r="L44" i="2"/>
  <c r="S59" i="10"/>
  <c r="L76" i="10"/>
  <c r="G75" i="10"/>
  <c r="G84" i="10"/>
  <c r="R37" i="10"/>
  <c r="J30" i="10"/>
  <c r="C35" i="10"/>
  <c r="C80" i="10"/>
  <c r="I31" i="10"/>
  <c r="G41" i="10"/>
  <c r="I38" i="10"/>
  <c r="C32" i="10"/>
  <c r="I30" i="10"/>
  <c r="C31" i="10"/>
  <c r="R39" i="10"/>
  <c r="M38" i="10"/>
  <c r="I40" i="10"/>
  <c r="L81" i="10"/>
  <c r="R42" i="2"/>
  <c r="D78" i="10"/>
  <c r="D77" i="10"/>
  <c r="G73" i="10"/>
  <c r="M34" i="10"/>
  <c r="J28" i="10"/>
  <c r="J36" i="10"/>
  <c r="G35" i="10"/>
  <c r="R33" i="10"/>
  <c r="G31" i="10"/>
  <c r="C36" i="10"/>
  <c r="G42" i="10"/>
  <c r="G38" i="10"/>
  <c r="R32" i="10"/>
  <c r="R31" i="10"/>
  <c r="I42" i="10"/>
  <c r="I41" i="10"/>
  <c r="M32" i="10"/>
  <c r="C33" i="10"/>
  <c r="R82" i="10"/>
  <c r="J29" i="10"/>
  <c r="R36" i="10"/>
  <c r="I37" i="10"/>
  <c r="L74" i="10"/>
  <c r="S61" i="10"/>
  <c r="L79" i="10"/>
  <c r="G70" i="10"/>
  <c r="G72" i="10"/>
  <c r="J40" i="10"/>
  <c r="J35" i="10"/>
  <c r="J34" i="10"/>
  <c r="I39" i="10"/>
  <c r="M31" i="10"/>
  <c r="G33" i="10"/>
  <c r="I29" i="10"/>
  <c r="M40" i="10"/>
  <c r="J42" i="10"/>
  <c r="G40" i="10"/>
  <c r="C37" i="10"/>
  <c r="O53" i="10"/>
  <c r="J32" i="10"/>
  <c r="G37" i="10"/>
  <c r="R38" i="10"/>
  <c r="C76" i="10"/>
  <c r="G76" i="10"/>
  <c r="G78" i="10"/>
  <c r="M37" i="10"/>
  <c r="J37" i="10"/>
  <c r="J39" i="10"/>
  <c r="L80" i="10"/>
  <c r="G39" i="10"/>
  <c r="G34" i="10"/>
  <c r="G32" i="10"/>
  <c r="I35" i="10"/>
  <c r="I32" i="10"/>
  <c r="J83" i="10"/>
  <c r="O54" i="10"/>
  <c r="O58" i="10"/>
  <c r="S55" i="10"/>
  <c r="S54" i="10"/>
  <c r="O56" i="10"/>
  <c r="S60" i="10"/>
  <c r="O75" i="10"/>
  <c r="O59" i="10"/>
  <c r="R74" i="10"/>
  <c r="O55" i="10"/>
  <c r="Q76" i="10"/>
  <c r="Q73" i="10"/>
  <c r="R79" i="10"/>
  <c r="S58" i="10"/>
  <c r="E80" i="10"/>
  <c r="J71" i="10"/>
  <c r="O52" i="10"/>
  <c r="E79" i="10"/>
  <c r="S53" i="10"/>
  <c r="J80" i="10"/>
  <c r="S56" i="10"/>
  <c r="O50" i="10"/>
  <c r="R84" i="10"/>
  <c r="S75" i="10"/>
  <c r="S57" i="10"/>
  <c r="J26" i="3"/>
  <c r="E38" i="9"/>
  <c r="C36" i="9"/>
  <c r="H45" i="2"/>
  <c r="I14" i="9"/>
  <c r="H44" i="2"/>
  <c r="R75" i="10"/>
  <c r="J70" i="10"/>
  <c r="O78" i="10"/>
  <c r="J76" i="10"/>
  <c r="J82" i="10"/>
  <c r="E77" i="10"/>
  <c r="Q72" i="10"/>
  <c r="S76" i="10"/>
  <c r="J84" i="10"/>
  <c r="R76" i="10"/>
  <c r="E81" i="10"/>
  <c r="S74" i="10"/>
  <c r="Q75" i="10"/>
  <c r="J81" i="10"/>
  <c r="D57" i="10"/>
  <c r="K16" i="9"/>
  <c r="J14" i="9"/>
  <c r="Q74" i="10"/>
  <c r="J75" i="10"/>
  <c r="E53" i="10"/>
  <c r="Q54" i="10"/>
  <c r="E54" i="10"/>
  <c r="Q56" i="10"/>
  <c r="Q61" i="10"/>
  <c r="L54" i="10"/>
  <c r="L58" i="10"/>
  <c r="L50" i="10"/>
  <c r="D58" i="10"/>
  <c r="L56" i="10"/>
  <c r="L55" i="10"/>
  <c r="Q59" i="10"/>
  <c r="D56" i="10"/>
  <c r="E57" i="10"/>
  <c r="Q55" i="10"/>
  <c r="L51" i="10"/>
  <c r="D60" i="10"/>
  <c r="Q57" i="10"/>
  <c r="E60" i="10"/>
  <c r="I18" i="9"/>
  <c r="L53" i="10"/>
  <c r="E56" i="10"/>
  <c r="E59" i="10"/>
  <c r="D54" i="10"/>
  <c r="D59" i="10"/>
  <c r="L59" i="10"/>
  <c r="L57" i="10"/>
  <c r="Q53" i="10"/>
  <c r="D52" i="10"/>
  <c r="D55" i="10"/>
  <c r="L52" i="10"/>
  <c r="Q58" i="10"/>
  <c r="E52" i="10"/>
  <c r="E55" i="10"/>
  <c r="E58" i="10"/>
  <c r="K18" i="9"/>
  <c r="O79" i="10"/>
  <c r="R80" i="10"/>
  <c r="J72" i="10"/>
  <c r="Q78" i="10"/>
  <c r="S81" i="10"/>
  <c r="Q83" i="10"/>
  <c r="I15" i="9"/>
  <c r="O81" i="10"/>
  <c r="D34" i="9"/>
  <c r="S82" i="10"/>
  <c r="R81" i="10"/>
  <c r="S83" i="10"/>
  <c r="O80" i="10"/>
  <c r="O77" i="10"/>
  <c r="K17" i="9"/>
  <c r="E74" i="10"/>
  <c r="S80" i="10"/>
  <c r="S77" i="10"/>
  <c r="J77" i="10"/>
  <c r="J73" i="10"/>
  <c r="O74" i="10"/>
  <c r="S72" i="10"/>
  <c r="S84" i="10"/>
  <c r="J17" i="9"/>
  <c r="Q80" i="10"/>
  <c r="Q82" i="10"/>
  <c r="J74" i="10"/>
  <c r="Q79" i="10"/>
  <c r="J78" i="10"/>
  <c r="S79" i="10"/>
  <c r="E78" i="10"/>
  <c r="E76" i="10"/>
  <c r="R72" i="10"/>
  <c r="Q84" i="10"/>
  <c r="Q81" i="10"/>
  <c r="Q77" i="10"/>
  <c r="J79" i="10"/>
  <c r="S78" i="10"/>
  <c r="R77" i="10"/>
  <c r="R78" i="10"/>
  <c r="E75" i="10"/>
  <c r="R83" i="10"/>
  <c r="O76" i="10"/>
  <c r="M18" i="9"/>
  <c r="L15" i="9"/>
  <c r="L16" i="9"/>
  <c r="K14" i="9"/>
  <c r="J18" i="9"/>
  <c r="M16" i="9"/>
  <c r="C59" i="10"/>
  <c r="L17" i="9"/>
  <c r="M14" i="9"/>
  <c r="M15" i="9"/>
  <c r="K15" i="9"/>
  <c r="I16" i="9"/>
  <c r="Q60" i="10"/>
  <c r="M17" i="9"/>
  <c r="L14" i="9"/>
  <c r="I17" i="9"/>
  <c r="L18" i="9"/>
  <c r="J16" i="9"/>
  <c r="R73" i="10"/>
  <c r="F38" i="9"/>
  <c r="E37" i="9"/>
  <c r="D35" i="9"/>
  <c r="B35" i="9"/>
  <c r="B34" i="9"/>
  <c r="C34" i="9"/>
  <c r="E36" i="9"/>
  <c r="C35" i="9"/>
  <c r="D36" i="9"/>
  <c r="B36" i="9"/>
  <c r="G54" i="10"/>
  <c r="D38" i="9"/>
  <c r="F34" i="9"/>
  <c r="E35" i="9"/>
  <c r="F36" i="9"/>
  <c r="J61" i="10"/>
  <c r="D37" i="9"/>
  <c r="C38" i="9"/>
  <c r="E34" i="9"/>
  <c r="F35" i="9"/>
  <c r="B38" i="9"/>
  <c r="C37" i="9"/>
  <c r="G58" i="10"/>
  <c r="R55" i="10"/>
  <c r="J49" i="10"/>
  <c r="R54" i="10"/>
  <c r="G63" i="10"/>
  <c r="G59" i="10"/>
  <c r="I49" i="10"/>
  <c r="G53" i="10"/>
  <c r="G60" i="10"/>
  <c r="J62" i="10"/>
  <c r="C54" i="10"/>
  <c r="I61" i="10"/>
  <c r="J51" i="10"/>
  <c r="I60" i="10"/>
  <c r="F37" i="9"/>
  <c r="J42" i="2"/>
  <c r="G50" i="10"/>
  <c r="R59" i="10"/>
  <c r="G61" i="10"/>
  <c r="M53" i="10"/>
  <c r="C52" i="10"/>
  <c r="G52" i="10"/>
  <c r="J50" i="10"/>
  <c r="J57" i="10"/>
  <c r="R60" i="10"/>
  <c r="I51" i="10"/>
  <c r="I58" i="10"/>
  <c r="M55" i="10"/>
  <c r="M58" i="10"/>
  <c r="G55" i="10"/>
  <c r="R56" i="10"/>
  <c r="M50" i="10"/>
  <c r="C58" i="10"/>
  <c r="I50" i="10"/>
  <c r="M52" i="10"/>
  <c r="R53" i="10"/>
  <c r="G57" i="10"/>
  <c r="G51" i="10"/>
  <c r="J52" i="10"/>
  <c r="J63" i="10"/>
  <c r="I53" i="10"/>
  <c r="I55" i="10"/>
  <c r="I62" i="10"/>
  <c r="I57" i="10"/>
  <c r="J45" i="2"/>
  <c r="R58" i="10"/>
  <c r="J54" i="10"/>
  <c r="I52" i="10"/>
  <c r="M59" i="10"/>
  <c r="R61" i="10"/>
  <c r="C60" i="10"/>
  <c r="G56" i="10"/>
  <c r="C57" i="10"/>
  <c r="J56" i="10"/>
  <c r="J53" i="10"/>
  <c r="J60" i="10"/>
  <c r="I59" i="10"/>
  <c r="C53" i="10"/>
  <c r="M51" i="10"/>
  <c r="J59" i="10"/>
  <c r="I54" i="10"/>
  <c r="M57" i="10"/>
  <c r="C55" i="10"/>
  <c r="C56" i="10"/>
  <c r="G49" i="10"/>
  <c r="G62" i="10"/>
  <c r="R57" i="10"/>
  <c r="J58" i="10"/>
  <c r="J55" i="10"/>
  <c r="M56" i="10"/>
  <c r="I56" i="10"/>
  <c r="D45" i="2"/>
  <c r="M54" i="10"/>
  <c r="I63" i="10"/>
  <c r="E16" i="9"/>
  <c r="F16" i="9"/>
  <c r="D42" i="2"/>
  <c r="B16" i="9"/>
  <c r="C16" i="9"/>
  <c r="F44" i="2"/>
  <c r="F45" i="2"/>
  <c r="F42" i="2"/>
  <c r="K26" i="3"/>
  <c r="M26" i="3"/>
  <c r="L26" i="3"/>
  <c r="I26" i="3"/>
  <c r="K26" i="8"/>
  <c r="H24" i="8"/>
  <c r="H24" i="3"/>
  <c r="H24" i="9"/>
  <c r="K24" i="7"/>
  <c r="L24" i="7"/>
  <c r="M24" i="7"/>
  <c r="I24" i="7"/>
  <c r="J24" i="7"/>
  <c r="J26" i="8"/>
  <c r="H28" i="9"/>
  <c r="H28" i="8"/>
  <c r="H28" i="3"/>
  <c r="I28" i="7"/>
  <c r="J28" i="7"/>
  <c r="L28" i="7"/>
  <c r="M28" i="7"/>
  <c r="K28" i="7"/>
  <c r="J26" i="9"/>
  <c r="K26" i="9"/>
  <c r="L26" i="9"/>
  <c r="I26" i="9"/>
  <c r="M26" i="9"/>
  <c r="H17" i="10"/>
  <c r="J16" i="10"/>
  <c r="I16" i="10"/>
  <c r="G16" i="10"/>
  <c r="H27" i="3"/>
  <c r="H27" i="9"/>
  <c r="H27" i="8"/>
  <c r="I27" i="7"/>
  <c r="J27" i="7"/>
  <c r="K27" i="7"/>
  <c r="L27" i="7"/>
  <c r="M27" i="7"/>
  <c r="M26" i="8"/>
  <c r="I26" i="8"/>
  <c r="H25" i="8"/>
  <c r="H25" i="9"/>
  <c r="H25" i="3"/>
  <c r="K25" i="7"/>
  <c r="J25" i="7"/>
  <c r="M25" i="7"/>
  <c r="I25" i="7"/>
  <c r="L25" i="7"/>
  <c r="H11" i="10"/>
  <c r="J12" i="10"/>
  <c r="I12" i="10"/>
  <c r="G12" i="10"/>
  <c r="D10" i="10"/>
  <c r="E10" i="10"/>
  <c r="B9" i="10"/>
  <c r="C10" i="10"/>
  <c r="D73" i="10"/>
  <c r="B72" i="10"/>
  <c r="C73" i="10"/>
  <c r="E73" i="10"/>
  <c r="D61" i="10"/>
  <c r="E61" i="10"/>
  <c r="B62" i="10"/>
  <c r="C61" i="10"/>
  <c r="E17" i="10"/>
  <c r="B18" i="10"/>
  <c r="D17" i="10"/>
  <c r="C17" i="10"/>
  <c r="C51" i="10"/>
  <c r="B50" i="10"/>
  <c r="D51" i="10"/>
  <c r="E51" i="10"/>
  <c r="D30" i="10"/>
  <c r="E30" i="10"/>
  <c r="B29" i="10"/>
  <c r="C30" i="10"/>
  <c r="C38" i="10"/>
  <c r="D38" i="10"/>
  <c r="B39" i="10"/>
  <c r="E38" i="10"/>
  <c r="E82" i="10"/>
  <c r="C82" i="10"/>
  <c r="B83" i="10"/>
  <c r="D82" i="10"/>
  <c r="S40" i="10"/>
  <c r="Q40" i="10"/>
  <c r="R40" i="10"/>
  <c r="T41" i="10"/>
  <c r="T29" i="10"/>
  <c r="S30" i="10"/>
  <c r="Q30" i="10"/>
  <c r="R30" i="10"/>
  <c r="S18" i="10"/>
  <c r="Q18" i="10"/>
  <c r="T19" i="10"/>
  <c r="R18" i="10"/>
  <c r="T9" i="10"/>
  <c r="S10" i="10"/>
  <c r="Q10" i="10"/>
  <c r="R10" i="10"/>
  <c r="Q62" i="10"/>
  <c r="S62" i="10"/>
  <c r="T63" i="10"/>
  <c r="R62" i="10"/>
  <c r="R71" i="10"/>
  <c r="S71" i="10"/>
  <c r="T70" i="10"/>
  <c r="Q71" i="10"/>
  <c r="T51" i="10"/>
  <c r="Q52" i="10"/>
  <c r="S52" i="10"/>
  <c r="R52" i="10"/>
  <c r="F24" i="7"/>
  <c r="C24" i="7"/>
  <c r="A24" i="9"/>
  <c r="A24" i="3"/>
  <c r="E24" i="7"/>
  <c r="B24" i="7"/>
  <c r="D24" i="7"/>
  <c r="A24" i="8"/>
  <c r="F18" i="9"/>
  <c r="E18" i="9"/>
  <c r="B18" i="9"/>
  <c r="C18" i="9"/>
  <c r="D18" i="9"/>
  <c r="M60" i="10"/>
  <c r="L60" i="10"/>
  <c r="O60" i="10"/>
  <c r="N61" i="10"/>
  <c r="O29" i="10"/>
  <c r="L29" i="10"/>
  <c r="N28" i="10"/>
  <c r="M29" i="10"/>
  <c r="D14" i="3"/>
  <c r="C14" i="3"/>
  <c r="E14" i="3"/>
  <c r="F14" i="3"/>
  <c r="B14" i="3"/>
  <c r="C17" i="3"/>
  <c r="E17" i="3"/>
  <c r="D17" i="3"/>
  <c r="B17" i="3"/>
  <c r="F17" i="3"/>
  <c r="E15" i="9"/>
  <c r="D15" i="9"/>
  <c r="C15" i="9"/>
  <c r="B15" i="9"/>
  <c r="F15" i="9"/>
  <c r="F26" i="3"/>
  <c r="E26" i="3"/>
  <c r="C26" i="3"/>
  <c r="D26" i="3"/>
  <c r="B26" i="3"/>
  <c r="C14" i="8"/>
  <c r="E14" i="8"/>
  <c r="B14" i="8"/>
  <c r="F14" i="8"/>
  <c r="D14" i="8"/>
  <c r="N83" i="10"/>
  <c r="M82" i="10"/>
  <c r="O82" i="10"/>
  <c r="L82" i="10"/>
  <c r="B27" i="7"/>
  <c r="A27" i="9"/>
  <c r="F27" i="7"/>
  <c r="A27" i="8"/>
  <c r="C27" i="7"/>
  <c r="E27" i="7"/>
  <c r="A27" i="3"/>
  <c r="D27" i="7"/>
  <c r="B15" i="3"/>
  <c r="D15" i="3"/>
  <c r="F15" i="3"/>
  <c r="C15" i="3"/>
  <c r="E15" i="3"/>
  <c r="F18" i="3"/>
  <c r="B18" i="3"/>
  <c r="C18" i="3"/>
  <c r="D18" i="3"/>
  <c r="E18" i="3"/>
  <c r="E14" i="9"/>
  <c r="F14" i="9"/>
  <c r="D14" i="9"/>
  <c r="C14" i="9"/>
  <c r="B14" i="9"/>
  <c r="L42" i="10"/>
  <c r="M42" i="10"/>
  <c r="O42" i="10"/>
  <c r="B17" i="8"/>
  <c r="F17" i="8"/>
  <c r="D17" i="8"/>
  <c r="C17" i="8"/>
  <c r="E17" i="8"/>
  <c r="M17" i="10"/>
  <c r="L17" i="10"/>
  <c r="N18" i="10"/>
  <c r="O17" i="10"/>
  <c r="D25" i="7"/>
  <c r="E25" i="7"/>
  <c r="B25" i="7"/>
  <c r="A25" i="8"/>
  <c r="A25" i="9"/>
  <c r="A25" i="3"/>
  <c r="C25" i="7"/>
  <c r="F25" i="7"/>
  <c r="E17" i="9"/>
  <c r="B17" i="9"/>
  <c r="C17" i="9"/>
  <c r="F17" i="9"/>
  <c r="D17" i="9"/>
  <c r="E15" i="8"/>
  <c r="D15" i="8"/>
  <c r="C15" i="8"/>
  <c r="B15" i="8"/>
  <c r="F15" i="8"/>
  <c r="E18" i="8"/>
  <c r="D18" i="8"/>
  <c r="B18" i="8"/>
  <c r="F18" i="8"/>
  <c r="C18" i="8"/>
  <c r="F26" i="8"/>
  <c r="C26" i="8"/>
  <c r="E26" i="8"/>
  <c r="D26" i="8"/>
  <c r="B26" i="8"/>
  <c r="E26" i="9"/>
  <c r="F26" i="9"/>
  <c r="B26" i="9"/>
  <c r="D26" i="9"/>
  <c r="C26" i="9"/>
  <c r="M49" i="10"/>
  <c r="O49" i="10"/>
  <c r="L49" i="10"/>
  <c r="M73" i="10"/>
  <c r="L73" i="10"/>
  <c r="N72" i="10"/>
  <c r="O73" i="10"/>
  <c r="B28" i="7"/>
  <c r="E28" i="7"/>
  <c r="C28" i="7"/>
  <c r="D28" i="7"/>
  <c r="A28" i="9"/>
  <c r="F28" i="7"/>
  <c r="A28" i="8"/>
  <c r="A28" i="3"/>
  <c r="N9" i="10"/>
  <c r="M10" i="10"/>
  <c r="O10" i="10"/>
  <c r="L10" i="10"/>
  <c r="I25" i="3" l="1"/>
  <c r="M25" i="3"/>
  <c r="J25" i="3"/>
  <c r="K25" i="3"/>
  <c r="L25" i="3"/>
  <c r="K25" i="9"/>
  <c r="M25" i="9"/>
  <c r="I25" i="9"/>
  <c r="L25" i="9"/>
  <c r="J25" i="9"/>
  <c r="I27" i="8"/>
  <c r="M27" i="8"/>
  <c r="J27" i="8"/>
  <c r="L27" i="8"/>
  <c r="K27" i="8"/>
  <c r="I27" i="9"/>
  <c r="L27" i="9"/>
  <c r="M27" i="9"/>
  <c r="J27" i="9"/>
  <c r="K27" i="9"/>
  <c r="M28" i="3"/>
  <c r="J28" i="3"/>
  <c r="I28" i="3"/>
  <c r="K28" i="3"/>
  <c r="L28" i="3"/>
  <c r="H18" i="10"/>
  <c r="G17" i="10"/>
  <c r="J17" i="10"/>
  <c r="I17" i="10"/>
  <c r="J25" i="8"/>
  <c r="I25" i="8"/>
  <c r="M25" i="8"/>
  <c r="L25" i="8"/>
  <c r="K25" i="8"/>
  <c r="M27" i="3"/>
  <c r="I27" i="3"/>
  <c r="J27" i="3"/>
  <c r="K27" i="3"/>
  <c r="L27" i="3"/>
  <c r="I28" i="8"/>
  <c r="K28" i="8"/>
  <c r="M28" i="8"/>
  <c r="J28" i="8"/>
  <c r="L28" i="8"/>
  <c r="J24" i="9"/>
  <c r="K24" i="9"/>
  <c r="L24" i="9"/>
  <c r="I24" i="9"/>
  <c r="M24" i="9"/>
  <c r="K28" i="9"/>
  <c r="J28" i="9"/>
  <c r="M28" i="9"/>
  <c r="L28" i="9"/>
  <c r="I28" i="9"/>
  <c r="K24" i="3"/>
  <c r="I24" i="3"/>
  <c r="M24" i="3"/>
  <c r="J24" i="3"/>
  <c r="L24" i="3"/>
  <c r="H10" i="10"/>
  <c r="J11" i="10"/>
  <c r="I11" i="10"/>
  <c r="G11" i="10"/>
  <c r="K24" i="8"/>
  <c r="J24" i="8"/>
  <c r="L24" i="8"/>
  <c r="M24" i="8"/>
  <c r="I24" i="8"/>
  <c r="C72" i="10"/>
  <c r="B71" i="10"/>
  <c r="D72" i="10"/>
  <c r="E72" i="10"/>
  <c r="D39" i="10"/>
  <c r="B40" i="10"/>
  <c r="C39" i="10"/>
  <c r="E39" i="10"/>
  <c r="E62" i="10"/>
  <c r="D62" i="10"/>
  <c r="B63" i="10"/>
  <c r="C62" i="10"/>
  <c r="B8" i="10"/>
  <c r="C9" i="10"/>
  <c r="E9" i="10"/>
  <c r="D9" i="10"/>
  <c r="C29" i="10"/>
  <c r="E29" i="10"/>
  <c r="B28" i="10"/>
  <c r="D29" i="10"/>
  <c r="C50" i="10"/>
  <c r="D50" i="10"/>
  <c r="B49" i="10"/>
  <c r="E50" i="10"/>
  <c r="B84" i="10"/>
  <c r="D83" i="10"/>
  <c r="E83" i="10"/>
  <c r="C83" i="10"/>
  <c r="D18" i="10"/>
  <c r="C18" i="10"/>
  <c r="E18" i="10"/>
  <c r="B19" i="10"/>
  <c r="S70" i="10"/>
  <c r="R70" i="10"/>
  <c r="Q70" i="10"/>
  <c r="R9" i="10"/>
  <c r="T8" i="10"/>
  <c r="Q9" i="10"/>
  <c r="S9" i="10"/>
  <c r="Q29" i="10"/>
  <c r="R29" i="10"/>
  <c r="S29" i="10"/>
  <c r="T28" i="10"/>
  <c r="T42" i="10"/>
  <c r="R41" i="10"/>
  <c r="Q41" i="10"/>
  <c r="S41" i="10"/>
  <c r="R63" i="10"/>
  <c r="S63" i="10"/>
  <c r="Q63" i="10"/>
  <c r="S19" i="10"/>
  <c r="Q19" i="10"/>
  <c r="T20" i="10"/>
  <c r="R19" i="10"/>
  <c r="Q51" i="10"/>
  <c r="R51" i="10"/>
  <c r="S51" i="10"/>
  <c r="T50" i="10"/>
  <c r="B28" i="3"/>
  <c r="D28" i="3"/>
  <c r="F28" i="3"/>
  <c r="C28" i="3"/>
  <c r="E28" i="3"/>
  <c r="B28" i="8"/>
  <c r="C28" i="8"/>
  <c r="F28" i="8"/>
  <c r="D28" i="8"/>
  <c r="E28" i="8"/>
  <c r="B24" i="8"/>
  <c r="D24" i="8"/>
  <c r="C24" i="8"/>
  <c r="F24" i="8"/>
  <c r="E24" i="8"/>
  <c r="N84" i="10"/>
  <c r="M83" i="10"/>
  <c r="O83" i="10"/>
  <c r="L83" i="10"/>
  <c r="O9" i="10"/>
  <c r="N8" i="10"/>
  <c r="M9" i="10"/>
  <c r="L9" i="10"/>
  <c r="C27" i="8"/>
  <c r="E27" i="8"/>
  <c r="B27" i="8"/>
  <c r="F27" i="8"/>
  <c r="D27" i="8"/>
  <c r="D27" i="9"/>
  <c r="F27" i="9"/>
  <c r="E27" i="9"/>
  <c r="B27" i="9"/>
  <c r="C27" i="9"/>
  <c r="B24" i="3"/>
  <c r="D24" i="3"/>
  <c r="E24" i="3"/>
  <c r="F24" i="3"/>
  <c r="C24" i="3"/>
  <c r="F25" i="3"/>
  <c r="B25" i="3"/>
  <c r="C25" i="3"/>
  <c r="D25" i="3"/>
  <c r="E25" i="3"/>
  <c r="D24" i="9"/>
  <c r="B24" i="9"/>
  <c r="C24" i="9"/>
  <c r="E24" i="9"/>
  <c r="F24" i="9"/>
  <c r="N71" i="10"/>
  <c r="L72" i="10"/>
  <c r="M72" i="10"/>
  <c r="O72" i="10"/>
  <c r="N19" i="10"/>
  <c r="M18" i="10"/>
  <c r="L18" i="10"/>
  <c r="O18" i="10"/>
  <c r="C28" i="9"/>
  <c r="E28" i="9"/>
  <c r="B28" i="9"/>
  <c r="D28" i="9"/>
  <c r="F28" i="9"/>
  <c r="B25" i="9"/>
  <c r="F25" i="9"/>
  <c r="D25" i="9"/>
  <c r="C25" i="9"/>
  <c r="E25" i="9"/>
  <c r="O28" i="10"/>
  <c r="M28" i="10"/>
  <c r="L28" i="10"/>
  <c r="C25" i="8"/>
  <c r="E25" i="8"/>
  <c r="B25" i="8"/>
  <c r="F25" i="8"/>
  <c r="D25" i="8"/>
  <c r="E27" i="3"/>
  <c r="B27" i="3"/>
  <c r="C27" i="3"/>
  <c r="D27" i="3"/>
  <c r="F27" i="3"/>
  <c r="M61" i="10"/>
  <c r="O61" i="10"/>
  <c r="L61" i="10"/>
  <c r="N62" i="10"/>
  <c r="H9" i="10" l="1"/>
  <c r="J10" i="10"/>
  <c r="G10" i="10"/>
  <c r="I10" i="10"/>
  <c r="H19" i="10"/>
  <c r="J18" i="10"/>
  <c r="G18" i="10"/>
  <c r="I18" i="10"/>
  <c r="C19" i="10"/>
  <c r="D19" i="10"/>
  <c r="E19" i="10"/>
  <c r="B20" i="10"/>
  <c r="E49" i="10"/>
  <c r="D49" i="10"/>
  <c r="C49" i="10"/>
  <c r="D28" i="10"/>
  <c r="C28" i="10"/>
  <c r="E28" i="10"/>
  <c r="C63" i="10"/>
  <c r="D63" i="10"/>
  <c r="E63" i="10"/>
  <c r="B70" i="10"/>
  <c r="E71" i="10"/>
  <c r="D71" i="10"/>
  <c r="C71" i="10"/>
  <c r="C40" i="10"/>
  <c r="E40" i="10"/>
  <c r="B41" i="10"/>
  <c r="D40" i="10"/>
  <c r="C8" i="10"/>
  <c r="D8" i="10"/>
  <c r="B7" i="10"/>
  <c r="E8" i="10"/>
  <c r="E84" i="10"/>
  <c r="D84" i="10"/>
  <c r="C84" i="10"/>
  <c r="R8" i="10"/>
  <c r="S8" i="10"/>
  <c r="Q8" i="10"/>
  <c r="T7" i="10"/>
  <c r="S42" i="10"/>
  <c r="R42" i="10"/>
  <c r="Q42" i="10"/>
  <c r="S28" i="10"/>
  <c r="Q28" i="10"/>
  <c r="R28" i="10"/>
  <c r="R50" i="10"/>
  <c r="S50" i="10"/>
  <c r="T49" i="10"/>
  <c r="Q50" i="10"/>
  <c r="T21" i="10"/>
  <c r="S20" i="10"/>
  <c r="Q20" i="10"/>
  <c r="R20" i="10"/>
  <c r="M19" i="10"/>
  <c r="O19" i="10"/>
  <c r="N20" i="10"/>
  <c r="L19" i="10"/>
  <c r="O84" i="10"/>
  <c r="M84" i="10"/>
  <c r="L84" i="10"/>
  <c r="L8" i="10"/>
  <c r="N7" i="10"/>
  <c r="O8" i="10"/>
  <c r="M8" i="10"/>
  <c r="N63" i="10"/>
  <c r="O62" i="10"/>
  <c r="L62" i="10"/>
  <c r="M62" i="10"/>
  <c r="N70" i="10"/>
  <c r="M71" i="10"/>
  <c r="L71" i="10"/>
  <c r="O71" i="10"/>
  <c r="H20" i="10" l="1"/>
  <c r="J19" i="10"/>
  <c r="I19" i="10"/>
  <c r="G19" i="10"/>
  <c r="H8" i="10"/>
  <c r="J9" i="10"/>
  <c r="I9" i="10"/>
  <c r="G9" i="10"/>
  <c r="D7" i="10"/>
  <c r="C7" i="10"/>
  <c r="E7" i="10"/>
  <c r="E70" i="10"/>
  <c r="C70" i="10"/>
  <c r="D70" i="10"/>
  <c r="E41" i="10"/>
  <c r="C41" i="10"/>
  <c r="B42" i="10"/>
  <c r="D41" i="10"/>
  <c r="D20" i="10"/>
  <c r="E20" i="10"/>
  <c r="B21" i="10"/>
  <c r="C20" i="10"/>
  <c r="Q21" i="10"/>
  <c r="R21" i="10"/>
  <c r="S21" i="10"/>
  <c r="R7" i="10"/>
  <c r="Q7" i="10"/>
  <c r="S7" i="10"/>
  <c r="Q49" i="10"/>
  <c r="S49" i="10"/>
  <c r="R49" i="10"/>
  <c r="O7" i="10"/>
  <c r="L7" i="10"/>
  <c r="M7" i="10"/>
  <c r="L70" i="10"/>
  <c r="O70" i="10"/>
  <c r="M70" i="10"/>
  <c r="O20" i="10"/>
  <c r="L20" i="10"/>
  <c r="M20" i="10"/>
  <c r="N21" i="10"/>
  <c r="O63" i="10"/>
  <c r="M63" i="10"/>
  <c r="L63" i="10"/>
  <c r="H7" i="10" l="1"/>
  <c r="J8" i="10"/>
  <c r="G8" i="10"/>
  <c r="I8" i="10"/>
  <c r="H21" i="10"/>
  <c r="J20" i="10"/>
  <c r="I20" i="10"/>
  <c r="G20" i="10"/>
  <c r="C21" i="10"/>
  <c r="E21" i="10"/>
  <c r="D21" i="10"/>
  <c r="D42" i="10"/>
  <c r="C42" i="10"/>
  <c r="E42" i="10"/>
  <c r="L21" i="10"/>
  <c r="M21" i="10"/>
  <c r="O21" i="10"/>
  <c r="J21" i="10" l="1"/>
  <c r="G21" i="10"/>
  <c r="I21" i="10"/>
  <c r="J7" i="10"/>
  <c r="I7" i="10"/>
  <c r="G7" i="10"/>
</calcChain>
</file>

<file path=xl/sharedStrings.xml><?xml version="1.0" encoding="utf-8"?>
<sst xmlns="http://schemas.openxmlformats.org/spreadsheetml/2006/main" count="752" uniqueCount="184">
  <si>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</si>
  <si>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</si>
  <si>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</si>
  <si>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</si>
  <si>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</si>
  <si>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</si>
  <si>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</si>
  <si>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</si>
  <si>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</si>
  <si>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</si>
  <si>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</si>
  <si>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</si>
  <si>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</si>
  <si>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</si>
  <si>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</si>
  <si>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</si>
  <si>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</si>
  <si>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</si>
  <si>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</si>
  <si>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</si>
  <si>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</si>
  <si>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</si>
  <si>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</si>
  <si>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</si>
  <si>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</si>
  <si>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</si>
  <si>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</si>
  <si>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</si>
  <si>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</si>
  <si>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</si>
  <si>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</si>
  <si>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</si>
  <si>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</si>
  <si>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</si>
  <si>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</si>
  <si>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</si>
  <si>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</si>
  <si>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</si>
  <si>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</si>
  <si>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</si>
  <si>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</si>
  <si>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</si>
  <si>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</si>
  <si>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</si>
  <si>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</si>
  <si>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</si>
  <si>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</si>
  <si>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</si>
  <si>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</si>
  <si>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</si>
  <si>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</si>
  <si>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</si>
  <si>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</si>
  <si>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</si>
  <si>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</si>
  <si>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</si>
  <si>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</si>
  <si>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</si>
  <si>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</si>
  <si>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</si>
  <si>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</si>
  <si>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</si>
  <si>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</si>
  <si>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</si>
  <si>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</si>
  <si>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</si>
  <si>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</si>
  <si>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</si>
  <si>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</si>
  <si>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</si>
  <si>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</si>
  <si>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</si>
  <si>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</si>
  <si>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</si>
  <si>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</si>
  <si>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</si>
  <si>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</si>
  <si>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</si>
  <si>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</si>
  <si>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</si>
  <si>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</si>
  <si>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</si>
  <si>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</si>
  <si>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</si>
  <si>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</si>
  <si>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</si>
  <si>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</si>
  <si>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</si>
  <si>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</si>
  <si>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</si>
  <si>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</si>
  <si>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</si>
  <si>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</si>
  <si>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</si>
  <si>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</si>
  <si>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</si>
  <si>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</si>
  <si>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</si>
  <si>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</si>
  <si>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</si>
  <si>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</si>
  <si>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</si>
  <si>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</si>
  <si>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</si>
  <si>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</si>
  <si>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</si>
  <si>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</si>
  <si>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</si>
  <si>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</si>
  <si>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</si>
  <si>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</si>
  <si>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</si>
  <si>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</si>
  <si>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</si>
  <si>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</si>
  <si>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</si>
  <si>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</si>
  <si>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</si>
  <si>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</si>
  <si>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</si>
  <si>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</si>
  <si>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</si>
  <si>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</si>
  <si>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</si>
  <si>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</si>
  <si>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BREAKEVEN PRICE</t>
  </si>
  <si>
    <t>Chicken Litter</t>
  </si>
  <si>
    <t>Land Rent</t>
  </si>
  <si>
    <t>By A.R. Smith, N.B. Smith and W.D. Shurley, UGA Extension Economists, Department of Agricultural and Applied Economics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</si>
  <si>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</si>
  <si>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</si>
  <si>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</si>
  <si>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</si>
  <si>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</si>
  <si>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</si>
  <si>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</si>
  <si>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</si>
  <si>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</si>
  <si>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</si>
  <si>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</si>
  <si>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</si>
  <si>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</si>
  <si>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</si>
  <si>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</si>
  <si>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</si>
  <si>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</si>
  <si>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</si>
  <si>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</si>
  <si>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</si>
  <si>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</si>
  <si>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</si>
  <si>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</si>
  <si>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</si>
  <si>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</si>
  <si>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</si>
  <si>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</si>
  <si>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</si>
  <si>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</si>
  <si>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</si>
  <si>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</si>
  <si>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</si>
  <si>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</si>
  <si>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</si>
  <si>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</si>
  <si>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</si>
  <si>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</si>
  <si>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</si>
  <si>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</si>
  <si>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</si>
  <si>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</si>
  <si>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</si>
  <si>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</si>
  <si>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</si>
  <si>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</si>
  <si>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</si>
  <si>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</si>
  <si>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</si>
  <si>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SUMMARY OF SOUTH GEORGIA CROP ENTERPRISE ESTIMATES, 2015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</si>
  <si>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</si>
  <si>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</si>
  <si>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</si>
  <si>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</si>
  <si>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*** Average of diesel and electric irrigation application costs.  Electric is estimated at $7/appl and diesel is estimated at $12.80/appl when diesel cost $2.70/gal.</t>
  </si>
  <si>
    <t>January 2015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</si>
</sst>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45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10" xfId="0" applyFont="1" applyFill="1" applyBorder="1" applyAlignme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49" fontId="13" fillId="3" borderId="20" xfId="0" applyNumberFormat="1" applyFont="1" applyFill="1" applyBorder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169" fontId="14" fillId="8" borderId="0" xfId="0" applyNumberFormat="1" applyFont="1" applyFill="1"/>
    <xf numFmtId="165" fontId="15" fillId="2" borderId="68" xfId="2" applyNumberFormat="1" applyFont="1" applyFill="1" applyBorder="1" applyAlignment="1">
      <alignment horizontal="left"/>
    </xf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16" xfId="2" applyNumberFormat="1" applyFont="1" applyFill="1" applyBorder="1" applyAlignment="1">
      <alignment horizontal="lef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75" xfId="0" applyNumberFormat="1" applyFont="1" applyFill="1" applyBorder="1" applyAlignment="1">
      <alignment horizontal="center"/>
    </xf>
    <xf numFmtId="0" fontId="14" fillId="8" borderId="60" xfId="0" applyFont="1" applyFill="1" applyBorder="1" applyAlignment="1">
      <alignment horizontal="center"/>
    </xf>
    <xf numFmtId="0" fontId="14" fillId="8" borderId="76" xfId="0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73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0" fontId="14" fillId="8" borderId="8" xfId="0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3" xfId="0" applyFont="1" applyFill="1" applyBorder="1" applyAlignment="1">
      <alignment horizontal="center"/>
    </xf>
    <xf numFmtId="0" fontId="13" fillId="8" borderId="73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74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6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318.49657733482422</c:v>
                </c:pt>
                <c:pt idx="1">
                  <c:v>331.26253478163272</c:v>
                </c:pt>
                <c:pt idx="2">
                  <c:v>344.02849222844122</c:v>
                </c:pt>
                <c:pt idx="3">
                  <c:v>356.79444967524984</c:v>
                </c:pt>
                <c:pt idx="4">
                  <c:v>369.56040712205828</c:v>
                </c:pt>
                <c:pt idx="5">
                  <c:v>382.32636456886684</c:v>
                </c:pt>
                <c:pt idx="6">
                  <c:v>395.09232201567534</c:v>
                </c:pt>
                <c:pt idx="7">
                  <c:v>407.85827946248389</c:v>
                </c:pt>
                <c:pt idx="8">
                  <c:v>420.62423690929239</c:v>
                </c:pt>
                <c:pt idx="9">
                  <c:v>433.39019435610089</c:v>
                </c:pt>
                <c:pt idx="10">
                  <c:v>446.15615180290939</c:v>
                </c:pt>
                <c:pt idx="11">
                  <c:v>458.92210924971795</c:v>
                </c:pt>
                <c:pt idx="12">
                  <c:v>471.6880666965265</c:v>
                </c:pt>
                <c:pt idx="13">
                  <c:v>484.45402414333506</c:v>
                </c:pt>
                <c:pt idx="14">
                  <c:v>497.21998159014356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299.72804905191617</c:v>
                </c:pt>
                <c:pt idx="1">
                  <c:v>310.75746081662214</c:v>
                </c:pt>
                <c:pt idx="2">
                  <c:v>321.786872581328</c:v>
                </c:pt>
                <c:pt idx="3">
                  <c:v>332.81628434603391</c:v>
                </c:pt>
                <c:pt idx="4">
                  <c:v>343.84569611073977</c:v>
                </c:pt>
                <c:pt idx="5">
                  <c:v>354.87510787544568</c:v>
                </c:pt>
                <c:pt idx="6">
                  <c:v>365.90451964015153</c:v>
                </c:pt>
                <c:pt idx="7">
                  <c:v>376.9339314048575</c:v>
                </c:pt>
                <c:pt idx="8">
                  <c:v>387.96334316956336</c:v>
                </c:pt>
                <c:pt idx="9">
                  <c:v>398.99275493426927</c:v>
                </c:pt>
                <c:pt idx="10">
                  <c:v>410.02216669897513</c:v>
                </c:pt>
                <c:pt idx="11">
                  <c:v>421.05157846368104</c:v>
                </c:pt>
                <c:pt idx="12">
                  <c:v>432.0809902283869</c:v>
                </c:pt>
                <c:pt idx="13">
                  <c:v>443.11040199309286</c:v>
                </c:pt>
                <c:pt idx="14">
                  <c:v>454.13981375779872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51488"/>
        <c:axId val="146753792"/>
      </c:lineChart>
      <c:catAx>
        <c:axId val="1467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158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753792"/>
        <c:crosses val="autoZero"/>
        <c:auto val="1"/>
        <c:lblAlgn val="ctr"/>
        <c:lblOffset val="100"/>
        <c:noMultiLvlLbl val="0"/>
      </c:catAx>
      <c:valAx>
        <c:axId val="146753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477241626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75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63"/>
          <c:y val="0.70227875361733627"/>
          <c:w val="0.21994215940398754"/>
          <c:h val="9.631446710186863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11"/>
          <c:y val="5.89456119309589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0.55410008067763594</c:v>
                </c:pt>
                <c:pt idx="1">
                  <c:v>0.57160008067763579</c:v>
                </c:pt>
                <c:pt idx="2">
                  <c:v>0.58910008067763586</c:v>
                </c:pt>
                <c:pt idx="3">
                  <c:v>0.60660008067763582</c:v>
                </c:pt>
                <c:pt idx="4">
                  <c:v>0.62410008067763589</c:v>
                </c:pt>
                <c:pt idx="5">
                  <c:v>0.64160008067763574</c:v>
                </c:pt>
                <c:pt idx="6">
                  <c:v>0.6591000806776357</c:v>
                </c:pt>
                <c:pt idx="7">
                  <c:v>0.67660008067763577</c:v>
                </c:pt>
                <c:pt idx="8">
                  <c:v>0.69410008067763573</c:v>
                </c:pt>
                <c:pt idx="9">
                  <c:v>0.7116000806776358</c:v>
                </c:pt>
                <c:pt idx="10">
                  <c:v>0.72910008067763565</c:v>
                </c:pt>
                <c:pt idx="11">
                  <c:v>0.74660008067763561</c:v>
                </c:pt>
                <c:pt idx="12">
                  <c:v>0.76410008067763568</c:v>
                </c:pt>
                <c:pt idx="13">
                  <c:v>0.78160008067763564</c:v>
                </c:pt>
                <c:pt idx="14">
                  <c:v>0.7991000806776356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0.57091644968232325</c:v>
                </c:pt>
                <c:pt idx="1">
                  <c:v>0.58491644968232315</c:v>
                </c:pt>
                <c:pt idx="2">
                  <c:v>0.59891644968232316</c:v>
                </c:pt>
                <c:pt idx="3">
                  <c:v>0.61291644968232317</c:v>
                </c:pt>
                <c:pt idx="4">
                  <c:v>0.62691644968232318</c:v>
                </c:pt>
                <c:pt idx="5">
                  <c:v>0.64091644968232309</c:v>
                </c:pt>
                <c:pt idx="6">
                  <c:v>0.6549164496823231</c:v>
                </c:pt>
                <c:pt idx="7">
                  <c:v>0.66891644968232311</c:v>
                </c:pt>
                <c:pt idx="8">
                  <c:v>0.68291644968232301</c:v>
                </c:pt>
                <c:pt idx="9">
                  <c:v>0.69691644968232302</c:v>
                </c:pt>
                <c:pt idx="10">
                  <c:v>0.71091644968232293</c:v>
                </c:pt>
                <c:pt idx="11">
                  <c:v>0.72491644968232294</c:v>
                </c:pt>
                <c:pt idx="12">
                  <c:v>0.73891644968232295</c:v>
                </c:pt>
                <c:pt idx="13">
                  <c:v>0.75291644968232296</c:v>
                </c:pt>
                <c:pt idx="14">
                  <c:v>0.76691644968232286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07328"/>
        <c:axId val="138709248"/>
      </c:lineChart>
      <c:catAx>
        <c:axId val="1387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709248"/>
        <c:crosses val="autoZero"/>
        <c:auto val="1"/>
        <c:lblAlgn val="ctr"/>
        <c:lblOffset val="100"/>
        <c:noMultiLvlLbl val="0"/>
      </c:catAx>
      <c:valAx>
        <c:axId val="138709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266E-5"/>
              <c:y val="0.3002439264628345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70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089"/>
          <c:y val="0.68816070176658384"/>
          <c:w val="0.22504918805348831"/>
          <c:h val="0.1023130717931781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26"/>
          <c:y val="8.59469985606637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333.35619300000008</c:v>
                </c:pt>
                <c:pt idx="1">
                  <c:v>342.29236321276602</c:v>
                </c:pt>
                <c:pt idx="2">
                  <c:v>351.22853342553196</c:v>
                </c:pt>
                <c:pt idx="3">
                  <c:v>360.16470363829796</c:v>
                </c:pt>
                <c:pt idx="4">
                  <c:v>369.10087385106391</c:v>
                </c:pt>
                <c:pt idx="5">
                  <c:v>378.0370440638298</c:v>
                </c:pt>
                <c:pt idx="6">
                  <c:v>386.97321427659574</c:v>
                </c:pt>
                <c:pt idx="7">
                  <c:v>395.90938448936168</c:v>
                </c:pt>
                <c:pt idx="8">
                  <c:v>404.84555470212769</c:v>
                </c:pt>
                <c:pt idx="9">
                  <c:v>413.78172491489363</c:v>
                </c:pt>
                <c:pt idx="10">
                  <c:v>422.71789512765957</c:v>
                </c:pt>
                <c:pt idx="11">
                  <c:v>431.65406534042552</c:v>
                </c:pt>
                <c:pt idx="12">
                  <c:v>440.59023555319146</c:v>
                </c:pt>
                <c:pt idx="13">
                  <c:v>449.52640576595746</c:v>
                </c:pt>
                <c:pt idx="14">
                  <c:v>458.46257597872341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319.98530626470597</c:v>
                </c:pt>
                <c:pt idx="1">
                  <c:v>326.16177685294116</c:v>
                </c:pt>
                <c:pt idx="2">
                  <c:v>332.33824744117652</c:v>
                </c:pt>
                <c:pt idx="3">
                  <c:v>338.51471802941182</c:v>
                </c:pt>
                <c:pt idx="4">
                  <c:v>344.69118861764707</c:v>
                </c:pt>
                <c:pt idx="5">
                  <c:v>350.86765920588238</c:v>
                </c:pt>
                <c:pt idx="6">
                  <c:v>357.04412979411762</c:v>
                </c:pt>
                <c:pt idx="7">
                  <c:v>363.22060038235298</c:v>
                </c:pt>
                <c:pt idx="8">
                  <c:v>369.39707097058829</c:v>
                </c:pt>
                <c:pt idx="9">
                  <c:v>375.57354155882354</c:v>
                </c:pt>
                <c:pt idx="10">
                  <c:v>381.75001214705884</c:v>
                </c:pt>
                <c:pt idx="11">
                  <c:v>387.92648273529414</c:v>
                </c:pt>
                <c:pt idx="12">
                  <c:v>394.10295332352939</c:v>
                </c:pt>
                <c:pt idx="13">
                  <c:v>400.27942391176475</c:v>
                </c:pt>
                <c:pt idx="14">
                  <c:v>406.4558945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26112"/>
        <c:axId val="138828032"/>
      </c:lineChart>
      <c:catAx>
        <c:axId val="1388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828032"/>
        <c:crosses val="autoZero"/>
        <c:auto val="1"/>
        <c:lblAlgn val="ctr"/>
        <c:lblOffset val="100"/>
        <c:noMultiLvlLbl val="0"/>
      </c:catAx>
      <c:valAx>
        <c:axId val="13882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8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41"/>
          <c:y val="0.69685998927553416"/>
          <c:w val="0.22183152479074442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4.0245086427500008</c:v>
                </c:pt>
                <c:pt idx="1">
                  <c:v>4.1295086427500003</c:v>
                </c:pt>
                <c:pt idx="2">
                  <c:v>4.2345086427499998</c:v>
                </c:pt>
                <c:pt idx="3">
                  <c:v>4.3395086427500003</c:v>
                </c:pt>
                <c:pt idx="4">
                  <c:v>4.4445086427499998</c:v>
                </c:pt>
                <c:pt idx="5">
                  <c:v>4.5495086427499993</c:v>
                </c:pt>
                <c:pt idx="6">
                  <c:v>4.6545086427499998</c:v>
                </c:pt>
                <c:pt idx="7">
                  <c:v>4.7595086427499993</c:v>
                </c:pt>
                <c:pt idx="8">
                  <c:v>4.8645086427499997</c:v>
                </c:pt>
                <c:pt idx="9">
                  <c:v>4.9695086427499993</c:v>
                </c:pt>
                <c:pt idx="10">
                  <c:v>5.0745086427499988</c:v>
                </c:pt>
                <c:pt idx="11">
                  <c:v>5.1795086427499992</c:v>
                </c:pt>
                <c:pt idx="12">
                  <c:v>5.2845086427499997</c:v>
                </c:pt>
                <c:pt idx="13">
                  <c:v>5.3895086427499992</c:v>
                </c:pt>
                <c:pt idx="14">
                  <c:v>5.4945086427499996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3.7609226425000006</c:v>
                </c:pt>
                <c:pt idx="1">
                  <c:v>3.8844520542647061</c:v>
                </c:pt>
                <c:pt idx="2">
                  <c:v>4.0079814660294115</c:v>
                </c:pt>
                <c:pt idx="3">
                  <c:v>4.1315108777941179</c:v>
                </c:pt>
                <c:pt idx="4">
                  <c:v>4.2550402895588233</c:v>
                </c:pt>
                <c:pt idx="5">
                  <c:v>4.3785697013235287</c:v>
                </c:pt>
                <c:pt idx="6">
                  <c:v>4.5020991130882351</c:v>
                </c:pt>
                <c:pt idx="7">
                  <c:v>4.6256285248529405</c:v>
                </c:pt>
                <c:pt idx="8">
                  <c:v>4.7491579366176468</c:v>
                </c:pt>
                <c:pt idx="9">
                  <c:v>4.8726873483823523</c:v>
                </c:pt>
                <c:pt idx="10">
                  <c:v>4.9962167601470577</c:v>
                </c:pt>
                <c:pt idx="11">
                  <c:v>5.1197461719117632</c:v>
                </c:pt>
                <c:pt idx="12">
                  <c:v>5.2432755836764695</c:v>
                </c:pt>
                <c:pt idx="13">
                  <c:v>5.366804995441175</c:v>
                </c:pt>
                <c:pt idx="14">
                  <c:v>5.4903344072058813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9360"/>
        <c:axId val="138881280"/>
      </c:lineChart>
      <c:catAx>
        <c:axId val="13887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294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881280"/>
        <c:crosses val="autoZero"/>
        <c:auto val="1"/>
        <c:lblAlgn val="ctr"/>
        <c:lblOffset val="100"/>
        <c:noMultiLvlLbl val="0"/>
      </c:catAx>
      <c:valAx>
        <c:axId val="138881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678122852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87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937300755860454"/>
          <c:w val="0.19930891247289739"/>
          <c:h val="0.102313090691989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311.25521492391999</c:v>
                </c:pt>
                <c:pt idx="1">
                  <c:v>324.02117237072849</c:v>
                </c:pt>
                <c:pt idx="2">
                  <c:v>336.78712981753699</c:v>
                </c:pt>
                <c:pt idx="3">
                  <c:v>349.55308726434555</c:v>
                </c:pt>
                <c:pt idx="4">
                  <c:v>362.31904471115405</c:v>
                </c:pt>
                <c:pt idx="5">
                  <c:v>375.08500215796261</c:v>
                </c:pt>
                <c:pt idx="6">
                  <c:v>387.85095960477105</c:v>
                </c:pt>
                <c:pt idx="7">
                  <c:v>400.61691705157966</c:v>
                </c:pt>
                <c:pt idx="8">
                  <c:v>413.38287449838816</c:v>
                </c:pt>
                <c:pt idx="9">
                  <c:v>426.14883194519666</c:v>
                </c:pt>
                <c:pt idx="10">
                  <c:v>438.91478939200516</c:v>
                </c:pt>
                <c:pt idx="11">
                  <c:v>451.68074683881372</c:v>
                </c:pt>
                <c:pt idx="12">
                  <c:v>464.44670428562216</c:v>
                </c:pt>
                <c:pt idx="13">
                  <c:v>477.21266173243072</c:v>
                </c:pt>
                <c:pt idx="14">
                  <c:v>489.97861917923927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289.64840445632785</c:v>
                </c:pt>
                <c:pt idx="1">
                  <c:v>300.67781622103371</c:v>
                </c:pt>
                <c:pt idx="2">
                  <c:v>311.70722798573956</c:v>
                </c:pt>
                <c:pt idx="3">
                  <c:v>322.73663975044548</c:v>
                </c:pt>
                <c:pt idx="4">
                  <c:v>333.76605151515145</c:v>
                </c:pt>
                <c:pt idx="5">
                  <c:v>344.7954632798573</c:v>
                </c:pt>
                <c:pt idx="6">
                  <c:v>355.82487504456321</c:v>
                </c:pt>
                <c:pt idx="7">
                  <c:v>366.85428680926913</c:v>
                </c:pt>
                <c:pt idx="8">
                  <c:v>377.88369857397504</c:v>
                </c:pt>
                <c:pt idx="9">
                  <c:v>388.91311033868089</c:v>
                </c:pt>
                <c:pt idx="10">
                  <c:v>399.94252210338681</c:v>
                </c:pt>
                <c:pt idx="11">
                  <c:v>410.97193386809266</c:v>
                </c:pt>
                <c:pt idx="12">
                  <c:v>422.00134563279858</c:v>
                </c:pt>
                <c:pt idx="13">
                  <c:v>433.03075739750449</c:v>
                </c:pt>
                <c:pt idx="14">
                  <c:v>444.06016916221029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3584"/>
        <c:axId val="139045504"/>
      </c:lineChart>
      <c:catAx>
        <c:axId val="13904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158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045504"/>
        <c:crosses val="autoZero"/>
        <c:auto val="1"/>
        <c:lblAlgn val="ctr"/>
        <c:lblOffset val="100"/>
        <c:noMultiLvlLbl val="0"/>
      </c:catAx>
      <c:valAx>
        <c:axId val="139045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477241626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04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469"/>
          <c:y val="0.70512775646633918"/>
          <c:w val="0.21994215940398754"/>
          <c:h val="9.631446710186863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3.2525757828030275</c:v>
                </c:pt>
                <c:pt idx="1">
                  <c:v>3.4731640180971461</c:v>
                </c:pt>
                <c:pt idx="2">
                  <c:v>3.6937522533912635</c:v>
                </c:pt>
                <c:pt idx="3">
                  <c:v>3.9143404886853812</c:v>
                </c:pt>
                <c:pt idx="4">
                  <c:v>4.1349287239794998</c:v>
                </c:pt>
                <c:pt idx="5">
                  <c:v>4.3555169592736176</c:v>
                </c:pt>
                <c:pt idx="6">
                  <c:v>4.5761051945677353</c:v>
                </c:pt>
                <c:pt idx="7">
                  <c:v>4.7966934298618531</c:v>
                </c:pt>
                <c:pt idx="8">
                  <c:v>5.0172816651559708</c:v>
                </c:pt>
                <c:pt idx="9">
                  <c:v>5.2378699004500886</c:v>
                </c:pt>
                <c:pt idx="10">
                  <c:v>5.4584581357442064</c:v>
                </c:pt>
                <c:pt idx="11">
                  <c:v>5.6790463710383241</c:v>
                </c:pt>
                <c:pt idx="12">
                  <c:v>5.8996346063324419</c:v>
                </c:pt>
                <c:pt idx="13">
                  <c:v>6.1202228416265614</c:v>
                </c:pt>
                <c:pt idx="14">
                  <c:v>6.3408110769206791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3.8066384003560589</c:v>
                </c:pt>
                <c:pt idx="1">
                  <c:v>3.9566384003560593</c:v>
                </c:pt>
                <c:pt idx="2">
                  <c:v>4.1066384003560588</c:v>
                </c:pt>
                <c:pt idx="3">
                  <c:v>4.25663840035606</c:v>
                </c:pt>
                <c:pt idx="4">
                  <c:v>4.4066384003560595</c:v>
                </c:pt>
                <c:pt idx="5">
                  <c:v>4.5566384003560598</c:v>
                </c:pt>
                <c:pt idx="6">
                  <c:v>4.7066384003560593</c:v>
                </c:pt>
                <c:pt idx="7">
                  <c:v>4.8566384003560605</c:v>
                </c:pt>
                <c:pt idx="8">
                  <c:v>5.00663840035606</c:v>
                </c:pt>
                <c:pt idx="9">
                  <c:v>5.1566384003560595</c:v>
                </c:pt>
                <c:pt idx="10">
                  <c:v>5.3066384003560598</c:v>
                </c:pt>
                <c:pt idx="11">
                  <c:v>5.4566384003560593</c:v>
                </c:pt>
                <c:pt idx="12">
                  <c:v>5.6066384003560605</c:v>
                </c:pt>
                <c:pt idx="13">
                  <c:v>5.7566384003560609</c:v>
                </c:pt>
                <c:pt idx="14">
                  <c:v>5.9066384003560621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6464"/>
        <c:axId val="139168384"/>
      </c:lineChart>
      <c:catAx>
        <c:axId val="1391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1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168384"/>
        <c:crosses val="autoZero"/>
        <c:auto val="1"/>
        <c:lblAlgn val="ctr"/>
        <c:lblOffset val="100"/>
        <c:noMultiLvlLbl val="0"/>
      </c:catAx>
      <c:valAx>
        <c:axId val="13916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16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71092639116041967"/>
          <c:w val="0.19930891247289739"/>
          <c:h val="8.544965069944421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335"/>
          <c:y val="8.60960121920243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6.4409813975252455</c:v>
                </c:pt>
                <c:pt idx="1">
                  <c:v>7.0659813975252472</c:v>
                </c:pt>
                <c:pt idx="2">
                  <c:v>7.6909813975252472</c:v>
                </c:pt>
                <c:pt idx="3">
                  <c:v>8.3159813975252472</c:v>
                </c:pt>
                <c:pt idx="4">
                  <c:v>8.9409813975252472</c:v>
                </c:pt>
                <c:pt idx="5">
                  <c:v>9.5659813975252472</c:v>
                </c:pt>
                <c:pt idx="6">
                  <c:v>10.190981397525247</c:v>
                </c:pt>
                <c:pt idx="7">
                  <c:v>10.815981397525253</c:v>
                </c:pt>
                <c:pt idx="8">
                  <c:v>11.440981397525253</c:v>
                </c:pt>
                <c:pt idx="9">
                  <c:v>12.065981397525253</c:v>
                </c:pt>
                <c:pt idx="10">
                  <c:v>12.690981397525253</c:v>
                </c:pt>
                <c:pt idx="11">
                  <c:v>13.315981397525253</c:v>
                </c:pt>
                <c:pt idx="12">
                  <c:v>13.940981397525253</c:v>
                </c:pt>
                <c:pt idx="13">
                  <c:v>14.565981397525256</c:v>
                </c:pt>
                <c:pt idx="14">
                  <c:v>15.190981397525256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6.8644146086868654</c:v>
                </c:pt>
                <c:pt idx="1">
                  <c:v>7.3644146086868654</c:v>
                </c:pt>
                <c:pt idx="2">
                  <c:v>7.8644146086868654</c:v>
                </c:pt>
                <c:pt idx="3">
                  <c:v>8.3644146086868663</c:v>
                </c:pt>
                <c:pt idx="4">
                  <c:v>8.8644146086868663</c:v>
                </c:pt>
                <c:pt idx="5">
                  <c:v>9.3644146086868663</c:v>
                </c:pt>
                <c:pt idx="6">
                  <c:v>9.8644146086868663</c:v>
                </c:pt>
                <c:pt idx="7">
                  <c:v>10.36441460868687</c:v>
                </c:pt>
                <c:pt idx="8">
                  <c:v>10.86441460868687</c:v>
                </c:pt>
                <c:pt idx="9">
                  <c:v>11.36441460868687</c:v>
                </c:pt>
                <c:pt idx="10">
                  <c:v>11.86441460868687</c:v>
                </c:pt>
                <c:pt idx="11">
                  <c:v>12.36441460868687</c:v>
                </c:pt>
                <c:pt idx="12">
                  <c:v>12.86441460868687</c:v>
                </c:pt>
                <c:pt idx="13">
                  <c:v>13.36441460868687</c:v>
                </c:pt>
                <c:pt idx="14">
                  <c:v>13.864414608686873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19712"/>
        <c:axId val="139221632"/>
      </c:lineChart>
      <c:catAx>
        <c:axId val="13921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1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221632"/>
        <c:crosses val="autoZero"/>
        <c:auto val="1"/>
        <c:lblAlgn val="ctr"/>
        <c:lblOffset val="100"/>
        <c:noMultiLvlLbl val="0"/>
      </c:catAx>
      <c:valAx>
        <c:axId val="139221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21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29"/>
          <c:y val="0.6916795078034601"/>
          <c:w val="0.21861397760062601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1983"/>
          <c:y val="8.6096026789754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0.61646361656565662</c:v>
                </c:pt>
                <c:pt idx="1">
                  <c:v>0.63913028323232335</c:v>
                </c:pt>
                <c:pt idx="2">
                  <c:v>0.66179694989898996</c:v>
                </c:pt>
                <c:pt idx="3">
                  <c:v>0.68446361656565657</c:v>
                </c:pt>
                <c:pt idx="4">
                  <c:v>0.7071302832323233</c:v>
                </c:pt>
                <c:pt idx="5">
                  <c:v>0.72979694989898991</c:v>
                </c:pt>
                <c:pt idx="6">
                  <c:v>0.75246361656565663</c:v>
                </c:pt>
                <c:pt idx="7">
                  <c:v>0.77513028323232325</c:v>
                </c:pt>
                <c:pt idx="8">
                  <c:v>0.79779694989898997</c:v>
                </c:pt>
                <c:pt idx="9">
                  <c:v>0.82046361656565658</c:v>
                </c:pt>
                <c:pt idx="10">
                  <c:v>0.84313028323232331</c:v>
                </c:pt>
                <c:pt idx="11">
                  <c:v>0.86579694989898992</c:v>
                </c:pt>
                <c:pt idx="12">
                  <c:v>0.88846361656565664</c:v>
                </c:pt>
                <c:pt idx="13">
                  <c:v>0.91113028323232326</c:v>
                </c:pt>
                <c:pt idx="14">
                  <c:v>0.93379694989898998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0.56170853744065652</c:v>
                </c:pt>
                <c:pt idx="1">
                  <c:v>0.58129187077398992</c:v>
                </c:pt>
                <c:pt idx="2">
                  <c:v>0.6008752041073232</c:v>
                </c:pt>
                <c:pt idx="3">
                  <c:v>0.62045853744065649</c:v>
                </c:pt>
                <c:pt idx="4">
                  <c:v>0.64004187077398988</c:v>
                </c:pt>
                <c:pt idx="5">
                  <c:v>0.65962520410732317</c:v>
                </c:pt>
                <c:pt idx="6">
                  <c:v>0.67920853744065657</c:v>
                </c:pt>
                <c:pt idx="7">
                  <c:v>0.69879187077398985</c:v>
                </c:pt>
                <c:pt idx="8">
                  <c:v>0.71837520410732314</c:v>
                </c:pt>
                <c:pt idx="9">
                  <c:v>0.73795853744065654</c:v>
                </c:pt>
                <c:pt idx="10">
                  <c:v>0.75754187077398982</c:v>
                </c:pt>
                <c:pt idx="11">
                  <c:v>0.77712520410732322</c:v>
                </c:pt>
                <c:pt idx="12">
                  <c:v>0.79670853744065651</c:v>
                </c:pt>
                <c:pt idx="13">
                  <c:v>0.8162918707739899</c:v>
                </c:pt>
                <c:pt idx="14">
                  <c:v>0.83587520410732319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2960"/>
        <c:axId val="139274880"/>
      </c:lineChart>
      <c:catAx>
        <c:axId val="1392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274880"/>
        <c:crosses val="autoZero"/>
        <c:auto val="1"/>
        <c:lblAlgn val="ctr"/>
        <c:lblOffset val="100"/>
        <c:noMultiLvlLbl val="0"/>
      </c:catAx>
      <c:valAx>
        <c:axId val="139274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6872115123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27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034"/>
          <c:y val="0.69854308082179384"/>
          <c:w val="0.21057028740972597"/>
          <c:h val="0.102312878993574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4.0596076936764707</c:v>
                </c:pt>
                <c:pt idx="1">
                  <c:v>4.2596076936764709</c:v>
                </c:pt>
                <c:pt idx="2">
                  <c:v>4.459607693676471</c:v>
                </c:pt>
                <c:pt idx="3">
                  <c:v>4.6596076936764712</c:v>
                </c:pt>
                <c:pt idx="4">
                  <c:v>4.8596076936764705</c:v>
                </c:pt>
                <c:pt idx="5">
                  <c:v>5.0596076936764707</c:v>
                </c:pt>
                <c:pt idx="6">
                  <c:v>5.2596076936764709</c:v>
                </c:pt>
                <c:pt idx="7">
                  <c:v>5.459607693676471</c:v>
                </c:pt>
                <c:pt idx="8">
                  <c:v>5.6596076936764712</c:v>
                </c:pt>
                <c:pt idx="9">
                  <c:v>5.8596076936764705</c:v>
                </c:pt>
                <c:pt idx="10">
                  <c:v>6.0596076936764707</c:v>
                </c:pt>
                <c:pt idx="11">
                  <c:v>6.2596076936764709</c:v>
                </c:pt>
                <c:pt idx="12">
                  <c:v>6.459607693676471</c:v>
                </c:pt>
                <c:pt idx="13">
                  <c:v>6.6596076936764712</c:v>
                </c:pt>
                <c:pt idx="14">
                  <c:v>6.8596076936764705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4.026889624999999</c:v>
                </c:pt>
                <c:pt idx="1">
                  <c:v>4.1443896249999996</c:v>
                </c:pt>
                <c:pt idx="2">
                  <c:v>4.2618896249999993</c:v>
                </c:pt>
                <c:pt idx="3">
                  <c:v>4.3793896249999991</c:v>
                </c:pt>
                <c:pt idx="4">
                  <c:v>4.4968896249999997</c:v>
                </c:pt>
                <c:pt idx="5">
                  <c:v>4.6143896249999994</c:v>
                </c:pt>
                <c:pt idx="6">
                  <c:v>4.7318896249999991</c:v>
                </c:pt>
                <c:pt idx="7">
                  <c:v>4.8493896249999997</c:v>
                </c:pt>
                <c:pt idx="8">
                  <c:v>4.9668896249999994</c:v>
                </c:pt>
                <c:pt idx="9">
                  <c:v>5.0843896249999991</c:v>
                </c:pt>
                <c:pt idx="10">
                  <c:v>5.2018896249999989</c:v>
                </c:pt>
                <c:pt idx="11">
                  <c:v>5.3193896249999986</c:v>
                </c:pt>
                <c:pt idx="12">
                  <c:v>5.4368896249999992</c:v>
                </c:pt>
                <c:pt idx="13">
                  <c:v>5.5543896249999989</c:v>
                </c:pt>
                <c:pt idx="14">
                  <c:v>5.6718896249999986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09824"/>
        <c:axId val="139311744"/>
      </c:lineChart>
      <c:catAx>
        <c:axId val="1393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311744"/>
        <c:crosses val="autoZero"/>
        <c:auto val="1"/>
        <c:lblAlgn val="ctr"/>
        <c:lblOffset val="100"/>
        <c:noMultiLvlLbl val="0"/>
      </c:catAx>
      <c:valAx>
        <c:axId val="139311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9134763327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30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102"/>
          <c:y val="0.69125780613630194"/>
          <c:w val="0.19770020051841344"/>
          <c:h val="0.1023131052583944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8.7275718116666674</c:v>
                </c:pt>
                <c:pt idx="1">
                  <c:v>9.2942384783333338</c:v>
                </c:pt>
                <c:pt idx="2">
                  <c:v>9.8609051450000003</c:v>
                </c:pt>
                <c:pt idx="3">
                  <c:v>10.427571811666667</c:v>
                </c:pt>
                <c:pt idx="4">
                  <c:v>10.994238478333333</c:v>
                </c:pt>
                <c:pt idx="5">
                  <c:v>11.560905145</c:v>
                </c:pt>
                <c:pt idx="6">
                  <c:v>12.127571811666666</c:v>
                </c:pt>
                <c:pt idx="7">
                  <c:v>12.694238478333334</c:v>
                </c:pt>
                <c:pt idx="8">
                  <c:v>13.260905145000001</c:v>
                </c:pt>
                <c:pt idx="9">
                  <c:v>13.827571811666667</c:v>
                </c:pt>
                <c:pt idx="10">
                  <c:v>14.394238478333333</c:v>
                </c:pt>
                <c:pt idx="11">
                  <c:v>14.960905145</c:v>
                </c:pt>
                <c:pt idx="12">
                  <c:v>15.527571811666666</c:v>
                </c:pt>
                <c:pt idx="13">
                  <c:v>16.094238478333335</c:v>
                </c:pt>
                <c:pt idx="14">
                  <c:v>16.660905145000001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7.5985853574999993</c:v>
                </c:pt>
                <c:pt idx="1">
                  <c:v>7.9902520241666659</c:v>
                </c:pt>
                <c:pt idx="2">
                  <c:v>8.3819186908333325</c:v>
                </c:pt>
                <c:pt idx="3">
                  <c:v>8.7735853575</c:v>
                </c:pt>
                <c:pt idx="4">
                  <c:v>9.1652520241666675</c:v>
                </c:pt>
                <c:pt idx="5">
                  <c:v>9.5569186908333332</c:v>
                </c:pt>
                <c:pt idx="6">
                  <c:v>9.9485853575000007</c:v>
                </c:pt>
                <c:pt idx="7">
                  <c:v>10.340252024166666</c:v>
                </c:pt>
                <c:pt idx="8">
                  <c:v>10.731918690833334</c:v>
                </c:pt>
                <c:pt idx="9">
                  <c:v>11.1235853575</c:v>
                </c:pt>
                <c:pt idx="10">
                  <c:v>11.515252024166667</c:v>
                </c:pt>
                <c:pt idx="11">
                  <c:v>11.906918690833333</c:v>
                </c:pt>
                <c:pt idx="12">
                  <c:v>12.2985853575</c:v>
                </c:pt>
                <c:pt idx="13">
                  <c:v>12.690252024166666</c:v>
                </c:pt>
                <c:pt idx="14">
                  <c:v>13.081918690833334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23520"/>
        <c:axId val="139725440"/>
      </c:lineChart>
      <c:catAx>
        <c:axId val="1397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25440"/>
        <c:crosses val="autoZero"/>
        <c:auto val="1"/>
        <c:lblAlgn val="ctr"/>
        <c:lblOffset val="100"/>
        <c:noMultiLvlLbl val="0"/>
      </c:catAx>
      <c:valAx>
        <c:axId val="13972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2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132"/>
          <c:y val="0.69171851377250215"/>
          <c:w val="0.2250490862555224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0.42389359994065662</c:v>
                </c:pt>
                <c:pt idx="1">
                  <c:v>0.44889359994065664</c:v>
                </c:pt>
                <c:pt idx="2">
                  <c:v>0.47389359994065661</c:v>
                </c:pt>
                <c:pt idx="3">
                  <c:v>0.49889359994065663</c:v>
                </c:pt>
                <c:pt idx="4">
                  <c:v>0.52389359994065665</c:v>
                </c:pt>
                <c:pt idx="5">
                  <c:v>0.54889359994065667</c:v>
                </c:pt>
                <c:pt idx="6">
                  <c:v>0.57389359994065647</c:v>
                </c:pt>
                <c:pt idx="7">
                  <c:v>0.59889359994065661</c:v>
                </c:pt>
                <c:pt idx="8">
                  <c:v>0.62389359994065674</c:v>
                </c:pt>
                <c:pt idx="9">
                  <c:v>0.64889359994065676</c:v>
                </c:pt>
                <c:pt idx="10">
                  <c:v>0.67389359994065678</c:v>
                </c:pt>
                <c:pt idx="11">
                  <c:v>0.69889359994065681</c:v>
                </c:pt>
                <c:pt idx="12">
                  <c:v>0.72389359994065694</c:v>
                </c:pt>
                <c:pt idx="13">
                  <c:v>0.74889359994065696</c:v>
                </c:pt>
                <c:pt idx="14">
                  <c:v>0.77389359994065698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0.51904141128232328</c:v>
                </c:pt>
                <c:pt idx="1">
                  <c:v>0.5360414112823233</c:v>
                </c:pt>
                <c:pt idx="2">
                  <c:v>0.55304141128232331</c:v>
                </c:pt>
                <c:pt idx="3">
                  <c:v>0.57004141128232333</c:v>
                </c:pt>
                <c:pt idx="4">
                  <c:v>0.58704141128232334</c:v>
                </c:pt>
                <c:pt idx="5">
                  <c:v>0.60404141128232325</c:v>
                </c:pt>
                <c:pt idx="6">
                  <c:v>0.62104141128232326</c:v>
                </c:pt>
                <c:pt idx="7">
                  <c:v>0.63804141128232328</c:v>
                </c:pt>
                <c:pt idx="8">
                  <c:v>0.6550414112823234</c:v>
                </c:pt>
                <c:pt idx="9">
                  <c:v>0.67204141128232342</c:v>
                </c:pt>
                <c:pt idx="10">
                  <c:v>0.68904141128232332</c:v>
                </c:pt>
                <c:pt idx="11">
                  <c:v>0.70604141128232334</c:v>
                </c:pt>
                <c:pt idx="12">
                  <c:v>0.72304141128232358</c:v>
                </c:pt>
                <c:pt idx="13">
                  <c:v>0.74004141128232348</c:v>
                </c:pt>
                <c:pt idx="14">
                  <c:v>0.75704141128232372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76768"/>
        <c:axId val="139778688"/>
      </c:lineChart>
      <c:catAx>
        <c:axId val="1397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78688"/>
        <c:crosses val="autoZero"/>
        <c:auto val="1"/>
        <c:lblAlgn val="ctr"/>
        <c:lblOffset val="100"/>
        <c:noMultiLvlLbl val="0"/>
      </c:catAx>
      <c:valAx>
        <c:axId val="13977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874245196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7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742647840661709"/>
          <c:w val="0.23952788510131884"/>
          <c:h val="0.1023131810016285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3.3557774982442057</c:v>
                </c:pt>
                <c:pt idx="1">
                  <c:v>3.5763657335383239</c:v>
                </c:pt>
                <c:pt idx="2">
                  <c:v>3.7969539688324416</c:v>
                </c:pt>
                <c:pt idx="3">
                  <c:v>4.0175422041265589</c:v>
                </c:pt>
                <c:pt idx="4">
                  <c:v>4.2381304394206776</c:v>
                </c:pt>
                <c:pt idx="5">
                  <c:v>4.4587186747147953</c:v>
                </c:pt>
                <c:pt idx="6">
                  <c:v>4.6793069100089131</c:v>
                </c:pt>
                <c:pt idx="7">
                  <c:v>4.8998951453030308</c:v>
                </c:pt>
                <c:pt idx="8">
                  <c:v>5.1204833805971486</c:v>
                </c:pt>
                <c:pt idx="9">
                  <c:v>5.3410716158912663</c:v>
                </c:pt>
                <c:pt idx="10">
                  <c:v>5.5616598511853841</c:v>
                </c:pt>
                <c:pt idx="11">
                  <c:v>5.7822480864795018</c:v>
                </c:pt>
                <c:pt idx="12">
                  <c:v>6.0028363217736196</c:v>
                </c:pt>
                <c:pt idx="13">
                  <c:v>6.2234245570677382</c:v>
                </c:pt>
                <c:pt idx="14">
                  <c:v>6.444012792361856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3.8499081586841841</c:v>
                </c:pt>
                <c:pt idx="1">
                  <c:v>3.999908158684184</c:v>
                </c:pt>
                <c:pt idx="2">
                  <c:v>4.1499081586841839</c:v>
                </c:pt>
                <c:pt idx="3">
                  <c:v>4.2999081586841843</c:v>
                </c:pt>
                <c:pt idx="4">
                  <c:v>4.4499081586841847</c:v>
                </c:pt>
                <c:pt idx="5">
                  <c:v>4.5999081586841841</c:v>
                </c:pt>
                <c:pt idx="6">
                  <c:v>4.7499081586841845</c:v>
                </c:pt>
                <c:pt idx="7">
                  <c:v>4.8999081586841848</c:v>
                </c:pt>
                <c:pt idx="8">
                  <c:v>5.0499081586841852</c:v>
                </c:pt>
                <c:pt idx="9">
                  <c:v>5.1999081586841847</c:v>
                </c:pt>
                <c:pt idx="10">
                  <c:v>5.349908158684185</c:v>
                </c:pt>
                <c:pt idx="11">
                  <c:v>5.4999081586841854</c:v>
                </c:pt>
                <c:pt idx="12">
                  <c:v>5.6499081586841866</c:v>
                </c:pt>
                <c:pt idx="13">
                  <c:v>5.7999081586841861</c:v>
                </c:pt>
                <c:pt idx="14">
                  <c:v>5.9499081586841864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86368"/>
        <c:axId val="130988288"/>
      </c:lineChart>
      <c:catAx>
        <c:axId val="1309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1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988288"/>
        <c:crosses val="autoZero"/>
        <c:auto val="1"/>
        <c:lblAlgn val="ctr"/>
        <c:lblOffset val="100"/>
        <c:noMultiLvlLbl val="0"/>
      </c:catAx>
      <c:valAx>
        <c:axId val="13098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98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71949170165292509"/>
          <c:w val="0.19930891247289739"/>
          <c:h val="8.544965069944421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259.62641489361704</c:v>
                </c:pt>
                <c:pt idx="1">
                  <c:v>272.3923723404256</c:v>
                </c:pt>
                <c:pt idx="2">
                  <c:v>285.15832978723409</c:v>
                </c:pt>
                <c:pt idx="3">
                  <c:v>297.92428723404259</c:v>
                </c:pt>
                <c:pt idx="4">
                  <c:v>310.69024468085109</c:v>
                </c:pt>
                <c:pt idx="5">
                  <c:v>323.45620212765965</c:v>
                </c:pt>
                <c:pt idx="6">
                  <c:v>336.22215957446809</c:v>
                </c:pt>
                <c:pt idx="7">
                  <c:v>348.98811702127665</c:v>
                </c:pt>
                <c:pt idx="8">
                  <c:v>361.75407446808521</c:v>
                </c:pt>
                <c:pt idx="9">
                  <c:v>374.52003191489371</c:v>
                </c:pt>
                <c:pt idx="10">
                  <c:v>387.28598936170226</c:v>
                </c:pt>
                <c:pt idx="11">
                  <c:v>400.05194680851082</c:v>
                </c:pt>
                <c:pt idx="12">
                  <c:v>412.81790425531932</c:v>
                </c:pt>
                <c:pt idx="13">
                  <c:v>425.58386170212793</c:v>
                </c:pt>
                <c:pt idx="14">
                  <c:v>438.34981914893643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287.0196153161765</c:v>
                </c:pt>
                <c:pt idx="1">
                  <c:v>294.51961531617644</c:v>
                </c:pt>
                <c:pt idx="2">
                  <c:v>302.01961531617644</c:v>
                </c:pt>
                <c:pt idx="3">
                  <c:v>309.51961531617644</c:v>
                </c:pt>
                <c:pt idx="4">
                  <c:v>317.01961531617644</c:v>
                </c:pt>
                <c:pt idx="5">
                  <c:v>324.51961531617644</c:v>
                </c:pt>
                <c:pt idx="6">
                  <c:v>332.01961531617638</c:v>
                </c:pt>
                <c:pt idx="7">
                  <c:v>339.5196153161765</c:v>
                </c:pt>
                <c:pt idx="8">
                  <c:v>347.01961531617656</c:v>
                </c:pt>
                <c:pt idx="9">
                  <c:v>354.51961531617656</c:v>
                </c:pt>
                <c:pt idx="10">
                  <c:v>362.01961531617656</c:v>
                </c:pt>
                <c:pt idx="11">
                  <c:v>369.5196153161765</c:v>
                </c:pt>
                <c:pt idx="12">
                  <c:v>377.0196153161765</c:v>
                </c:pt>
                <c:pt idx="13">
                  <c:v>384.5196153161765</c:v>
                </c:pt>
                <c:pt idx="14">
                  <c:v>392.01961531617656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5552"/>
        <c:axId val="139897472"/>
      </c:lineChart>
      <c:catAx>
        <c:axId val="1398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897472"/>
        <c:crosses val="autoZero"/>
        <c:auto val="1"/>
        <c:lblAlgn val="ctr"/>
        <c:lblOffset val="100"/>
        <c:noMultiLvlLbl val="0"/>
      </c:catAx>
      <c:valAx>
        <c:axId val="13989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89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4"/>
          <c:y val="0.69715643609064992"/>
          <c:w val="0.22665778717958765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4.8422866075000011</c:v>
                </c:pt>
                <c:pt idx="1">
                  <c:v>5.3422866075000011</c:v>
                </c:pt>
                <c:pt idx="2">
                  <c:v>5.8422866075000011</c:v>
                </c:pt>
                <c:pt idx="3">
                  <c:v>6.3422866075000011</c:v>
                </c:pt>
                <c:pt idx="4">
                  <c:v>6.8422866075000011</c:v>
                </c:pt>
                <c:pt idx="5">
                  <c:v>7.3422866075000011</c:v>
                </c:pt>
                <c:pt idx="6">
                  <c:v>7.8422866074999993</c:v>
                </c:pt>
                <c:pt idx="7">
                  <c:v>8.3422866075000019</c:v>
                </c:pt>
                <c:pt idx="8">
                  <c:v>8.8422866075000037</c:v>
                </c:pt>
                <c:pt idx="9">
                  <c:v>9.3422866075000037</c:v>
                </c:pt>
                <c:pt idx="10">
                  <c:v>9.8422866075000037</c:v>
                </c:pt>
                <c:pt idx="11">
                  <c:v>10.342286607500004</c:v>
                </c:pt>
                <c:pt idx="12">
                  <c:v>10.842286607500007</c:v>
                </c:pt>
                <c:pt idx="13">
                  <c:v>11.342286607500007</c:v>
                </c:pt>
                <c:pt idx="14">
                  <c:v>11.842286607500007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6.292016679583333</c:v>
                </c:pt>
                <c:pt idx="1">
                  <c:v>6.7170166795833337</c:v>
                </c:pt>
                <c:pt idx="2">
                  <c:v>7.1420166795833335</c:v>
                </c:pt>
                <c:pt idx="3">
                  <c:v>7.5670166795833333</c:v>
                </c:pt>
                <c:pt idx="4">
                  <c:v>7.9920166795833332</c:v>
                </c:pt>
                <c:pt idx="5">
                  <c:v>8.4170166795833339</c:v>
                </c:pt>
                <c:pt idx="6">
                  <c:v>8.8420166795833328</c:v>
                </c:pt>
                <c:pt idx="7">
                  <c:v>9.2670166795833318</c:v>
                </c:pt>
                <c:pt idx="8">
                  <c:v>9.692016679583336</c:v>
                </c:pt>
                <c:pt idx="9">
                  <c:v>10.117016679583337</c:v>
                </c:pt>
                <c:pt idx="10">
                  <c:v>10.542016679583336</c:v>
                </c:pt>
                <c:pt idx="11">
                  <c:v>10.967016679583336</c:v>
                </c:pt>
                <c:pt idx="12">
                  <c:v>11.392016679583341</c:v>
                </c:pt>
                <c:pt idx="13">
                  <c:v>11.81701667958334</c:v>
                </c:pt>
                <c:pt idx="14">
                  <c:v>12.24201667958334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32800"/>
        <c:axId val="139934720"/>
      </c:lineChart>
      <c:catAx>
        <c:axId val="1399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34720"/>
        <c:crosses val="autoZero"/>
        <c:auto val="1"/>
        <c:lblAlgn val="ctr"/>
        <c:lblOffset val="100"/>
        <c:noMultiLvlLbl val="0"/>
      </c:catAx>
      <c:valAx>
        <c:axId val="13993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656331668218885"/>
          <c:w val="0.24596286333773493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952"/>
          <c:y val="8.84161003053426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0.5467792695656567</c:v>
                </c:pt>
                <c:pt idx="1">
                  <c:v>0.56427926956565666</c:v>
                </c:pt>
                <c:pt idx="2">
                  <c:v>0.58177926956565673</c:v>
                </c:pt>
                <c:pt idx="3">
                  <c:v>0.59927926956565669</c:v>
                </c:pt>
                <c:pt idx="4">
                  <c:v>0.61677926956565665</c:v>
                </c:pt>
                <c:pt idx="5">
                  <c:v>0.6342792695656565</c:v>
                </c:pt>
                <c:pt idx="6">
                  <c:v>0.65177926956565646</c:v>
                </c:pt>
                <c:pt idx="7">
                  <c:v>0.66927926956565653</c:v>
                </c:pt>
                <c:pt idx="8">
                  <c:v>0.68677926956565649</c:v>
                </c:pt>
                <c:pt idx="9">
                  <c:v>0.70427926956565656</c:v>
                </c:pt>
                <c:pt idx="10">
                  <c:v>0.72177926956565652</c:v>
                </c:pt>
                <c:pt idx="11">
                  <c:v>0.73927926956565648</c:v>
                </c:pt>
                <c:pt idx="12">
                  <c:v>0.75677926956565655</c:v>
                </c:pt>
                <c:pt idx="13">
                  <c:v>0.77427926956565651</c:v>
                </c:pt>
                <c:pt idx="14">
                  <c:v>0.79177926956565647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0.55936074409899006</c:v>
                </c:pt>
                <c:pt idx="1">
                  <c:v>0.57336074409899007</c:v>
                </c:pt>
                <c:pt idx="2">
                  <c:v>0.58736074409899008</c:v>
                </c:pt>
                <c:pt idx="3">
                  <c:v>0.6013607440989901</c:v>
                </c:pt>
                <c:pt idx="4">
                  <c:v>0.61536074409899011</c:v>
                </c:pt>
                <c:pt idx="5">
                  <c:v>0.6293607440989899</c:v>
                </c:pt>
                <c:pt idx="6">
                  <c:v>0.64336074409898991</c:v>
                </c:pt>
                <c:pt idx="7">
                  <c:v>0.65736074409898992</c:v>
                </c:pt>
                <c:pt idx="8">
                  <c:v>0.67136074409898994</c:v>
                </c:pt>
                <c:pt idx="9">
                  <c:v>0.68536074409898995</c:v>
                </c:pt>
                <c:pt idx="10">
                  <c:v>0.69936074409898996</c:v>
                </c:pt>
                <c:pt idx="11">
                  <c:v>0.71336074409898997</c:v>
                </c:pt>
                <c:pt idx="12">
                  <c:v>0.72736074409898988</c:v>
                </c:pt>
                <c:pt idx="13">
                  <c:v>0.74136074409898989</c:v>
                </c:pt>
                <c:pt idx="14">
                  <c:v>0.7553607440989899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81952"/>
        <c:axId val="139983872"/>
      </c:lineChart>
      <c:catAx>
        <c:axId val="13998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83872"/>
        <c:crosses val="autoZero"/>
        <c:auto val="1"/>
        <c:lblAlgn val="ctr"/>
        <c:lblOffset val="100"/>
        <c:noMultiLvlLbl val="0"/>
      </c:catAx>
      <c:valAx>
        <c:axId val="139983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266E-5"/>
              <c:y val="0.3002439264628345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8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85"/>
          <c:y val="0.69699072384163907"/>
          <c:w val="0.22504918805348834"/>
          <c:h val="0.1023130717931781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7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322.3765440638299</c:v>
                </c:pt>
                <c:pt idx="1">
                  <c:v>331.31271427659578</c:v>
                </c:pt>
                <c:pt idx="2">
                  <c:v>340.24888448936179</c:v>
                </c:pt>
                <c:pt idx="3">
                  <c:v>349.18505470212773</c:v>
                </c:pt>
                <c:pt idx="4">
                  <c:v>358.12122491489373</c:v>
                </c:pt>
                <c:pt idx="5">
                  <c:v>367.05739512765956</c:v>
                </c:pt>
                <c:pt idx="6">
                  <c:v>375.99356534042556</c:v>
                </c:pt>
                <c:pt idx="7">
                  <c:v>384.92973555319151</c:v>
                </c:pt>
                <c:pt idx="8">
                  <c:v>393.86590576595745</c:v>
                </c:pt>
                <c:pt idx="9">
                  <c:v>402.80207597872339</c:v>
                </c:pt>
                <c:pt idx="10">
                  <c:v>411.73824619148934</c:v>
                </c:pt>
                <c:pt idx="11">
                  <c:v>420.67441640425528</c:v>
                </c:pt>
                <c:pt idx="12">
                  <c:v>429.61058661702128</c:v>
                </c:pt>
                <c:pt idx="13">
                  <c:v>438.54675682978723</c:v>
                </c:pt>
                <c:pt idx="14">
                  <c:v>447.48292704255317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304.80755626470591</c:v>
                </c:pt>
                <c:pt idx="1">
                  <c:v>310.98402685294121</c:v>
                </c:pt>
                <c:pt idx="2">
                  <c:v>317.16049744117646</c:v>
                </c:pt>
                <c:pt idx="3">
                  <c:v>323.33696802941176</c:v>
                </c:pt>
                <c:pt idx="4">
                  <c:v>329.51343861764701</c:v>
                </c:pt>
                <c:pt idx="5">
                  <c:v>335.68990920588237</c:v>
                </c:pt>
                <c:pt idx="6">
                  <c:v>341.86637979411768</c:v>
                </c:pt>
                <c:pt idx="7">
                  <c:v>348.04285038235292</c:v>
                </c:pt>
                <c:pt idx="8">
                  <c:v>354.21932097058823</c:v>
                </c:pt>
                <c:pt idx="9">
                  <c:v>360.39579155882353</c:v>
                </c:pt>
                <c:pt idx="10">
                  <c:v>366.57226214705872</c:v>
                </c:pt>
                <c:pt idx="11">
                  <c:v>372.74873273529408</c:v>
                </c:pt>
                <c:pt idx="12">
                  <c:v>378.92520332352933</c:v>
                </c:pt>
                <c:pt idx="13">
                  <c:v>385.10167391176464</c:v>
                </c:pt>
                <c:pt idx="14">
                  <c:v>391.27814449999994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58080"/>
        <c:axId val="140160000"/>
      </c:lineChart>
      <c:catAx>
        <c:axId val="14015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160000"/>
        <c:crosses val="autoZero"/>
        <c:auto val="1"/>
        <c:lblAlgn val="ctr"/>
        <c:lblOffset val="100"/>
        <c:noMultiLvlLbl val="0"/>
      </c:catAx>
      <c:valAx>
        <c:axId val="14016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15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884"/>
          <c:y val="0.69972737278807895"/>
          <c:w val="0.22183152479074442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3.9373140177500003</c:v>
                </c:pt>
                <c:pt idx="1">
                  <c:v>4.0423140177499999</c:v>
                </c:pt>
                <c:pt idx="2">
                  <c:v>4.1473140177500003</c:v>
                </c:pt>
                <c:pt idx="3">
                  <c:v>4.2523140177499998</c:v>
                </c:pt>
                <c:pt idx="4">
                  <c:v>4.3573140177500003</c:v>
                </c:pt>
                <c:pt idx="5">
                  <c:v>4.4623140177499998</c:v>
                </c:pt>
                <c:pt idx="6">
                  <c:v>4.5673140177500002</c:v>
                </c:pt>
                <c:pt idx="7">
                  <c:v>4.6723140177499998</c:v>
                </c:pt>
                <c:pt idx="8">
                  <c:v>4.7773140177500002</c:v>
                </c:pt>
                <c:pt idx="9">
                  <c:v>4.8823140177499997</c:v>
                </c:pt>
                <c:pt idx="10">
                  <c:v>4.9873140177499984</c:v>
                </c:pt>
                <c:pt idx="11">
                  <c:v>5.0923140177499988</c:v>
                </c:pt>
                <c:pt idx="12">
                  <c:v>5.1973140177499992</c:v>
                </c:pt>
                <c:pt idx="13">
                  <c:v>5.3023140177499988</c:v>
                </c:pt>
                <c:pt idx="14">
                  <c:v>5.4073140177499992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7.3000000000000025</c:v>
                </c:pt>
                <c:pt idx="1">
                  <c:v>7.6500000000000021</c:v>
                </c:pt>
                <c:pt idx="2">
                  <c:v>8.0000000000000018</c:v>
                </c:pt>
                <c:pt idx="3">
                  <c:v>8.3500000000000014</c:v>
                </c:pt>
                <c:pt idx="4">
                  <c:v>8.7000000000000011</c:v>
                </c:pt>
                <c:pt idx="5">
                  <c:v>9.0500000000000007</c:v>
                </c:pt>
                <c:pt idx="6">
                  <c:v>9.4</c:v>
                </c:pt>
                <c:pt idx="7">
                  <c:v>9.75</c:v>
                </c:pt>
                <c:pt idx="8">
                  <c:v>10.1</c:v>
                </c:pt>
                <c:pt idx="9">
                  <c:v>10.45</c:v>
                </c:pt>
                <c:pt idx="10">
                  <c:v>10.799999999999999</c:v>
                </c:pt>
                <c:pt idx="11">
                  <c:v>11.149999999999999</c:v>
                </c:pt>
                <c:pt idx="12">
                  <c:v>11.499999999999998</c:v>
                </c:pt>
                <c:pt idx="13">
                  <c:v>11.849999999999998</c:v>
                </c:pt>
                <c:pt idx="14">
                  <c:v>12.199999999999998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3.5557588189705891</c:v>
                </c:pt>
                <c:pt idx="1">
                  <c:v>3.6792882307352945</c:v>
                </c:pt>
                <c:pt idx="2">
                  <c:v>3.8028176425000004</c:v>
                </c:pt>
                <c:pt idx="3">
                  <c:v>3.9263470542647063</c:v>
                </c:pt>
                <c:pt idx="4">
                  <c:v>4.0498764660294118</c:v>
                </c:pt>
                <c:pt idx="5">
                  <c:v>4.1734058777941181</c:v>
                </c:pt>
                <c:pt idx="6">
                  <c:v>4.2969352895588235</c:v>
                </c:pt>
                <c:pt idx="7">
                  <c:v>4.4204647013235299</c:v>
                </c:pt>
                <c:pt idx="8">
                  <c:v>4.5439941130882353</c:v>
                </c:pt>
                <c:pt idx="9">
                  <c:v>4.6675235248529416</c:v>
                </c:pt>
                <c:pt idx="10">
                  <c:v>4.7910529366176462</c:v>
                </c:pt>
                <c:pt idx="11">
                  <c:v>4.9145823483823516</c:v>
                </c:pt>
                <c:pt idx="12">
                  <c:v>5.038111760147058</c:v>
                </c:pt>
                <c:pt idx="13">
                  <c:v>5.1616411719117634</c:v>
                </c:pt>
                <c:pt idx="14">
                  <c:v>5.2851705836764697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31808"/>
        <c:axId val="140233728"/>
      </c:lineChart>
      <c:catAx>
        <c:axId val="1402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294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233728"/>
        <c:crosses val="autoZero"/>
        <c:auto val="1"/>
        <c:lblAlgn val="ctr"/>
        <c:lblOffset val="100"/>
        <c:noMultiLvlLbl val="0"/>
      </c:catAx>
      <c:valAx>
        <c:axId val="140233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678122852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2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937300755860454"/>
          <c:w val="0.19930891247289739"/>
          <c:h val="0.102313090691989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335"/>
          <c:y val="1.72192024384048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6.1520887579419172</c:v>
                </c:pt>
                <c:pt idx="1">
                  <c:v>6.7770887579419199</c:v>
                </c:pt>
                <c:pt idx="2">
                  <c:v>7.4020887579419199</c:v>
                </c:pt>
                <c:pt idx="3">
                  <c:v>8.0270887579419199</c:v>
                </c:pt>
                <c:pt idx="4">
                  <c:v>8.6520887579419217</c:v>
                </c:pt>
                <c:pt idx="5">
                  <c:v>9.2770887579419217</c:v>
                </c:pt>
                <c:pt idx="6">
                  <c:v>9.9020887579419217</c:v>
                </c:pt>
                <c:pt idx="7">
                  <c:v>10.527088757941923</c:v>
                </c:pt>
                <c:pt idx="8">
                  <c:v>11.152088757941923</c:v>
                </c:pt>
                <c:pt idx="9">
                  <c:v>11.777088757941923</c:v>
                </c:pt>
                <c:pt idx="10">
                  <c:v>12.402088757941923</c:v>
                </c:pt>
                <c:pt idx="11">
                  <c:v>13.027088757941923</c:v>
                </c:pt>
                <c:pt idx="12">
                  <c:v>13.652088757941923</c:v>
                </c:pt>
                <c:pt idx="13">
                  <c:v>14.277088757941927</c:v>
                </c:pt>
                <c:pt idx="14">
                  <c:v>14.902088757941927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0.5249999999999998</c:v>
                </c:pt>
                <c:pt idx="1">
                  <c:v>0.54999999999999982</c:v>
                </c:pt>
                <c:pt idx="2">
                  <c:v>0.57499999999999984</c:v>
                </c:pt>
                <c:pt idx="3">
                  <c:v>0.59999999999999987</c:v>
                </c:pt>
                <c:pt idx="4">
                  <c:v>0.62499999999999989</c:v>
                </c:pt>
                <c:pt idx="5">
                  <c:v>0.64999999999999991</c:v>
                </c:pt>
                <c:pt idx="6">
                  <c:v>0.67499999999999993</c:v>
                </c:pt>
                <c:pt idx="7">
                  <c:v>0.7</c:v>
                </c:pt>
                <c:pt idx="8">
                  <c:v>0.72499999999999998</c:v>
                </c:pt>
                <c:pt idx="9">
                  <c:v>0.75</c:v>
                </c:pt>
                <c:pt idx="10">
                  <c:v>0.77500000000000002</c:v>
                </c:pt>
                <c:pt idx="11">
                  <c:v>0.8</c:v>
                </c:pt>
                <c:pt idx="12">
                  <c:v>0.82500000000000007</c:v>
                </c:pt>
                <c:pt idx="13">
                  <c:v>0.85000000000000009</c:v>
                </c:pt>
                <c:pt idx="14">
                  <c:v>0.87500000000000011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6.717998386447281</c:v>
                </c:pt>
                <c:pt idx="1">
                  <c:v>7.217998386447281</c:v>
                </c:pt>
                <c:pt idx="2">
                  <c:v>7.717998386447281</c:v>
                </c:pt>
                <c:pt idx="3">
                  <c:v>8.2179983864472828</c:v>
                </c:pt>
                <c:pt idx="4">
                  <c:v>8.7179983864472828</c:v>
                </c:pt>
                <c:pt idx="5">
                  <c:v>9.2179983864472828</c:v>
                </c:pt>
                <c:pt idx="6">
                  <c:v>9.7179983864472828</c:v>
                </c:pt>
                <c:pt idx="7">
                  <c:v>10.217998386447285</c:v>
                </c:pt>
                <c:pt idx="8">
                  <c:v>10.717998386447285</c:v>
                </c:pt>
                <c:pt idx="9">
                  <c:v>11.217998386447285</c:v>
                </c:pt>
                <c:pt idx="10">
                  <c:v>11.717998386447285</c:v>
                </c:pt>
                <c:pt idx="11">
                  <c:v>12.217998386447285</c:v>
                </c:pt>
                <c:pt idx="12">
                  <c:v>12.717998386447286</c:v>
                </c:pt>
                <c:pt idx="13">
                  <c:v>13.217998386447286</c:v>
                </c:pt>
                <c:pt idx="14">
                  <c:v>13.717998386447288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6960"/>
        <c:axId val="131098880"/>
      </c:lineChart>
      <c:catAx>
        <c:axId val="13109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1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098880"/>
        <c:crosses val="autoZero"/>
        <c:auto val="1"/>
        <c:lblAlgn val="ctr"/>
        <c:lblOffset val="100"/>
        <c:noMultiLvlLbl val="0"/>
      </c:catAx>
      <c:valAx>
        <c:axId val="13109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09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45"/>
          <c:y val="0.68307735726582564"/>
          <c:w val="0.21861397760062604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1983"/>
          <c:y val="1.72192053579509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0.59361642214898969</c:v>
                </c:pt>
                <c:pt idx="1">
                  <c:v>0.61628308881565641</c:v>
                </c:pt>
                <c:pt idx="2">
                  <c:v>0.63894975548232302</c:v>
                </c:pt>
                <c:pt idx="3">
                  <c:v>0.66161642214898964</c:v>
                </c:pt>
                <c:pt idx="4">
                  <c:v>0.68428308881565636</c:v>
                </c:pt>
                <c:pt idx="5">
                  <c:v>0.70694975548232297</c:v>
                </c:pt>
                <c:pt idx="6">
                  <c:v>0.7296164221489897</c:v>
                </c:pt>
                <c:pt idx="7">
                  <c:v>0.75228308881565631</c:v>
                </c:pt>
                <c:pt idx="8">
                  <c:v>0.77494975548232303</c:v>
                </c:pt>
                <c:pt idx="9">
                  <c:v>0.79761642214898965</c:v>
                </c:pt>
                <c:pt idx="10">
                  <c:v>0.82028308881565637</c:v>
                </c:pt>
                <c:pt idx="11">
                  <c:v>0.84294975548232298</c:v>
                </c:pt>
                <c:pt idx="12">
                  <c:v>0.86561642214898971</c:v>
                </c:pt>
                <c:pt idx="13">
                  <c:v>0.88828308881565632</c:v>
                </c:pt>
                <c:pt idx="14">
                  <c:v>0.91094975548232304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0.54752753605263571</c:v>
                </c:pt>
                <c:pt idx="1">
                  <c:v>0.56711086938596911</c:v>
                </c:pt>
                <c:pt idx="2">
                  <c:v>0.58669420271930239</c:v>
                </c:pt>
                <c:pt idx="3">
                  <c:v>0.60627753605263568</c:v>
                </c:pt>
                <c:pt idx="4">
                  <c:v>0.62586086938596908</c:v>
                </c:pt>
                <c:pt idx="5">
                  <c:v>0.64544420271930236</c:v>
                </c:pt>
                <c:pt idx="6">
                  <c:v>0.66502753605263576</c:v>
                </c:pt>
                <c:pt idx="7">
                  <c:v>0.68461086938596905</c:v>
                </c:pt>
                <c:pt idx="8">
                  <c:v>0.70419420271930244</c:v>
                </c:pt>
                <c:pt idx="9">
                  <c:v>0.72377753605263573</c:v>
                </c:pt>
                <c:pt idx="10">
                  <c:v>0.74336086938596901</c:v>
                </c:pt>
                <c:pt idx="11">
                  <c:v>0.76294420271930241</c:v>
                </c:pt>
                <c:pt idx="12">
                  <c:v>0.7825275360526357</c:v>
                </c:pt>
                <c:pt idx="13">
                  <c:v>0.80211086938596909</c:v>
                </c:pt>
                <c:pt idx="14">
                  <c:v>0.82169420271930238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73088"/>
        <c:axId val="131275008"/>
      </c:lineChart>
      <c:catAx>
        <c:axId val="1312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275008"/>
        <c:crosses val="autoZero"/>
        <c:auto val="1"/>
        <c:lblAlgn val="ctr"/>
        <c:lblOffset val="100"/>
        <c:noMultiLvlLbl val="0"/>
      </c:catAx>
      <c:valAx>
        <c:axId val="13127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6872115123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27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147"/>
          <c:y val="0.69279595438501218"/>
          <c:w val="0.21057028740972597"/>
          <c:h val="0.102312878993574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3.9612165172058815</c:v>
                </c:pt>
                <c:pt idx="1">
                  <c:v>4.1612165172058813</c:v>
                </c:pt>
                <c:pt idx="2">
                  <c:v>4.3612165172058814</c:v>
                </c:pt>
                <c:pt idx="3">
                  <c:v>4.5612165172058816</c:v>
                </c:pt>
                <c:pt idx="4">
                  <c:v>4.7612165172058818</c:v>
                </c:pt>
                <c:pt idx="5">
                  <c:v>4.9612165172058811</c:v>
                </c:pt>
                <c:pt idx="6">
                  <c:v>5.1612165172058813</c:v>
                </c:pt>
                <c:pt idx="7">
                  <c:v>5.3612165172058814</c:v>
                </c:pt>
                <c:pt idx="8">
                  <c:v>5.5612165172058816</c:v>
                </c:pt>
                <c:pt idx="9">
                  <c:v>5.7612165172058818</c:v>
                </c:pt>
                <c:pt idx="10">
                  <c:v>5.9612165172058811</c:v>
                </c:pt>
                <c:pt idx="11">
                  <c:v>6.1612165172058813</c:v>
                </c:pt>
                <c:pt idx="12">
                  <c:v>6.3612165172058814</c:v>
                </c:pt>
                <c:pt idx="13">
                  <c:v>6.5612165172058816</c:v>
                </c:pt>
                <c:pt idx="14">
                  <c:v>6.7612165172058818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3.9850733749999994</c:v>
                </c:pt>
                <c:pt idx="1">
                  <c:v>4.1025733749999995</c:v>
                </c:pt>
                <c:pt idx="2">
                  <c:v>4.2200733749999992</c:v>
                </c:pt>
                <c:pt idx="3">
                  <c:v>4.3375733749999998</c:v>
                </c:pt>
                <c:pt idx="4">
                  <c:v>4.4550733749999996</c:v>
                </c:pt>
                <c:pt idx="5">
                  <c:v>4.5725733749999993</c:v>
                </c:pt>
                <c:pt idx="6">
                  <c:v>4.6900733749999999</c:v>
                </c:pt>
                <c:pt idx="7">
                  <c:v>4.8075733749999996</c:v>
                </c:pt>
                <c:pt idx="8">
                  <c:v>4.9250733749999993</c:v>
                </c:pt>
                <c:pt idx="9">
                  <c:v>5.0425733749999999</c:v>
                </c:pt>
                <c:pt idx="10">
                  <c:v>5.1600733749999996</c:v>
                </c:pt>
                <c:pt idx="11">
                  <c:v>5.2775733749999993</c:v>
                </c:pt>
                <c:pt idx="12">
                  <c:v>5.3950733749999991</c:v>
                </c:pt>
                <c:pt idx="13">
                  <c:v>5.5125733749999997</c:v>
                </c:pt>
                <c:pt idx="14">
                  <c:v>5.6300733749999994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70752"/>
        <c:axId val="138172672"/>
      </c:lineChart>
      <c:catAx>
        <c:axId val="13817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172672"/>
        <c:crosses val="autoZero"/>
        <c:auto val="1"/>
        <c:lblAlgn val="ctr"/>
        <c:lblOffset val="100"/>
        <c:noMultiLvlLbl val="0"/>
      </c:catAx>
      <c:valAx>
        <c:axId val="138172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9134763327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17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15"/>
          <c:y val="0.70275205900986515"/>
          <c:w val="0.19770020051841344"/>
          <c:h val="0.1023131052583944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7.8674993116666654</c:v>
                </c:pt>
                <c:pt idx="1">
                  <c:v>8.4341659783333327</c:v>
                </c:pt>
                <c:pt idx="2">
                  <c:v>9.0008326449999991</c:v>
                </c:pt>
                <c:pt idx="3">
                  <c:v>9.5674993116666656</c:v>
                </c:pt>
                <c:pt idx="4">
                  <c:v>10.134165978333332</c:v>
                </c:pt>
                <c:pt idx="5">
                  <c:v>10.700832644999998</c:v>
                </c:pt>
                <c:pt idx="6">
                  <c:v>11.267499311666665</c:v>
                </c:pt>
                <c:pt idx="7">
                  <c:v>11.834165978333333</c:v>
                </c:pt>
                <c:pt idx="8">
                  <c:v>12.400832644999999</c:v>
                </c:pt>
                <c:pt idx="9">
                  <c:v>12.967499311666666</c:v>
                </c:pt>
                <c:pt idx="10">
                  <c:v>13.534165978333332</c:v>
                </c:pt>
                <c:pt idx="11">
                  <c:v>14.100832644999999</c:v>
                </c:pt>
                <c:pt idx="12">
                  <c:v>14.667499311666665</c:v>
                </c:pt>
                <c:pt idx="13">
                  <c:v>15.234165978333332</c:v>
                </c:pt>
                <c:pt idx="14">
                  <c:v>15.800832644999998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7.1685491074999996</c:v>
                </c:pt>
                <c:pt idx="1">
                  <c:v>7.5602157741666662</c:v>
                </c:pt>
                <c:pt idx="2">
                  <c:v>7.9518824408333328</c:v>
                </c:pt>
                <c:pt idx="3">
                  <c:v>8.3435491074999995</c:v>
                </c:pt>
                <c:pt idx="4">
                  <c:v>8.7352157741666669</c:v>
                </c:pt>
                <c:pt idx="5">
                  <c:v>9.1268824408333327</c:v>
                </c:pt>
                <c:pt idx="6">
                  <c:v>9.5185491075000002</c:v>
                </c:pt>
                <c:pt idx="7">
                  <c:v>9.9102157741666659</c:v>
                </c:pt>
                <c:pt idx="8">
                  <c:v>10.301882440833333</c:v>
                </c:pt>
                <c:pt idx="9">
                  <c:v>10.693549107499999</c:v>
                </c:pt>
                <c:pt idx="10">
                  <c:v>11.085215774166667</c:v>
                </c:pt>
                <c:pt idx="11">
                  <c:v>11.476882440833332</c:v>
                </c:pt>
                <c:pt idx="12">
                  <c:v>11.8685491075</c:v>
                </c:pt>
                <c:pt idx="13">
                  <c:v>12.260215774166666</c:v>
                </c:pt>
                <c:pt idx="14">
                  <c:v>12.651882440833333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2192"/>
        <c:axId val="138234112"/>
      </c:lineChart>
      <c:catAx>
        <c:axId val="13823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234112"/>
        <c:crosses val="autoZero"/>
        <c:auto val="1"/>
        <c:lblAlgn val="ctr"/>
        <c:lblOffset val="100"/>
        <c:noMultiLvlLbl val="0"/>
      </c:catAx>
      <c:valAx>
        <c:axId val="138234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23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132"/>
          <c:y val="0.68600830677749858"/>
          <c:w val="0.2250490862555224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0.41668197355263581</c:v>
                </c:pt>
                <c:pt idx="1">
                  <c:v>0.44168197355263583</c:v>
                </c:pt>
                <c:pt idx="2">
                  <c:v>0.4666819735526358</c:v>
                </c:pt>
                <c:pt idx="3">
                  <c:v>0.49168197355263582</c:v>
                </c:pt>
                <c:pt idx="4">
                  <c:v>0.51668197355263579</c:v>
                </c:pt>
                <c:pt idx="5">
                  <c:v>0.54168197355263581</c:v>
                </c:pt>
                <c:pt idx="6">
                  <c:v>0.56668197355263572</c:v>
                </c:pt>
                <c:pt idx="7">
                  <c:v>0.59168197355263585</c:v>
                </c:pt>
                <c:pt idx="8">
                  <c:v>0.61668197355263588</c:v>
                </c:pt>
                <c:pt idx="9">
                  <c:v>0.6416819735526359</c:v>
                </c:pt>
                <c:pt idx="10">
                  <c:v>0.66668197355263603</c:v>
                </c:pt>
                <c:pt idx="11">
                  <c:v>0.69168197355263605</c:v>
                </c:pt>
                <c:pt idx="12">
                  <c:v>0.71668197355263608</c:v>
                </c:pt>
                <c:pt idx="13">
                  <c:v>0.74168197355263621</c:v>
                </c:pt>
                <c:pt idx="14">
                  <c:v>0.76668197355263623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0.50734521686565648</c:v>
                </c:pt>
                <c:pt idx="1">
                  <c:v>0.52434521686565649</c:v>
                </c:pt>
                <c:pt idx="2">
                  <c:v>0.54134521686565651</c:v>
                </c:pt>
                <c:pt idx="3">
                  <c:v>0.55834521686565641</c:v>
                </c:pt>
                <c:pt idx="4">
                  <c:v>0.57534521686565643</c:v>
                </c:pt>
                <c:pt idx="5">
                  <c:v>0.59234521686565644</c:v>
                </c:pt>
                <c:pt idx="6">
                  <c:v>0.60934521686565635</c:v>
                </c:pt>
                <c:pt idx="7">
                  <c:v>0.62634521686565647</c:v>
                </c:pt>
                <c:pt idx="8">
                  <c:v>0.64334521686565649</c:v>
                </c:pt>
                <c:pt idx="9">
                  <c:v>0.6603452168656565</c:v>
                </c:pt>
                <c:pt idx="10">
                  <c:v>0.67734521686565663</c:v>
                </c:pt>
                <c:pt idx="11">
                  <c:v>0.69434521686565664</c:v>
                </c:pt>
                <c:pt idx="12">
                  <c:v>0.71134521686565677</c:v>
                </c:pt>
                <c:pt idx="13">
                  <c:v>0.72834521686565679</c:v>
                </c:pt>
                <c:pt idx="14">
                  <c:v>0.7453452168656568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3264"/>
        <c:axId val="138365184"/>
      </c:lineChart>
      <c:catAx>
        <c:axId val="13836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65184"/>
        <c:crosses val="autoZero"/>
        <c:auto val="1"/>
        <c:lblAlgn val="ctr"/>
        <c:lblOffset val="100"/>
        <c:noMultiLvlLbl val="0"/>
      </c:catAx>
      <c:valAx>
        <c:axId val="13836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874245196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6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42"/>
          <c:y val="0.68036890911024184"/>
          <c:w val="0.23952788510131887"/>
          <c:h val="0.1023131810016285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263.1852446808511</c:v>
                </c:pt>
                <c:pt idx="1">
                  <c:v>275.9512021276596</c:v>
                </c:pt>
                <c:pt idx="2">
                  <c:v>288.71715957446816</c:v>
                </c:pt>
                <c:pt idx="3">
                  <c:v>301.4831170212766</c:v>
                </c:pt>
                <c:pt idx="4">
                  <c:v>314.24907446808515</c:v>
                </c:pt>
                <c:pt idx="5">
                  <c:v>327.01503191489365</c:v>
                </c:pt>
                <c:pt idx="6">
                  <c:v>339.78098936170215</c:v>
                </c:pt>
                <c:pt idx="7">
                  <c:v>352.54694680851065</c:v>
                </c:pt>
                <c:pt idx="8">
                  <c:v>365.31290425531927</c:v>
                </c:pt>
                <c:pt idx="9">
                  <c:v>378.07886170212771</c:v>
                </c:pt>
                <c:pt idx="10">
                  <c:v>390.84481914893632</c:v>
                </c:pt>
                <c:pt idx="11">
                  <c:v>403.61077659574482</c:v>
                </c:pt>
                <c:pt idx="12">
                  <c:v>416.37673404255338</c:v>
                </c:pt>
                <c:pt idx="13">
                  <c:v>429.14269148936194</c:v>
                </c:pt>
                <c:pt idx="14">
                  <c:v>441.90864893617044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291.93917413970593</c:v>
                </c:pt>
                <c:pt idx="1">
                  <c:v>299.43917413970593</c:v>
                </c:pt>
                <c:pt idx="2">
                  <c:v>306.93917413970593</c:v>
                </c:pt>
                <c:pt idx="3">
                  <c:v>314.43917413970598</c:v>
                </c:pt>
                <c:pt idx="4">
                  <c:v>321.93917413970593</c:v>
                </c:pt>
                <c:pt idx="5">
                  <c:v>329.43917413970593</c:v>
                </c:pt>
                <c:pt idx="6">
                  <c:v>336.93917413970587</c:v>
                </c:pt>
                <c:pt idx="7">
                  <c:v>344.43917413970593</c:v>
                </c:pt>
                <c:pt idx="8">
                  <c:v>351.93917413970598</c:v>
                </c:pt>
                <c:pt idx="9">
                  <c:v>359.43917413970598</c:v>
                </c:pt>
                <c:pt idx="10">
                  <c:v>366.93917413970598</c:v>
                </c:pt>
                <c:pt idx="11">
                  <c:v>374.43917413970598</c:v>
                </c:pt>
                <c:pt idx="12">
                  <c:v>381.93917413970604</c:v>
                </c:pt>
                <c:pt idx="13">
                  <c:v>389.43917413970604</c:v>
                </c:pt>
                <c:pt idx="14">
                  <c:v>396.9391741397061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6144"/>
        <c:axId val="138488064"/>
      </c:lineChart>
      <c:catAx>
        <c:axId val="1384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488064"/>
        <c:crosses val="autoZero"/>
        <c:auto val="1"/>
        <c:lblAlgn val="ctr"/>
        <c:lblOffset val="100"/>
        <c:noMultiLvlLbl val="0"/>
      </c:catAx>
      <c:valAx>
        <c:axId val="13848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48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4"/>
          <c:y val="0.69428905257810514"/>
          <c:w val="0.22665778717958765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4.5516378575000012</c:v>
                </c:pt>
                <c:pt idx="1">
                  <c:v>5.0516378575000012</c:v>
                </c:pt>
                <c:pt idx="2">
                  <c:v>5.5516378575000012</c:v>
                </c:pt>
                <c:pt idx="3">
                  <c:v>6.0516378575000012</c:v>
                </c:pt>
                <c:pt idx="4">
                  <c:v>6.5516378575000012</c:v>
                </c:pt>
                <c:pt idx="5">
                  <c:v>7.0516378575000012</c:v>
                </c:pt>
                <c:pt idx="6">
                  <c:v>7.5516378574999994</c:v>
                </c:pt>
                <c:pt idx="7">
                  <c:v>8.0516378575000012</c:v>
                </c:pt>
                <c:pt idx="8">
                  <c:v>8.5516378575000029</c:v>
                </c:pt>
                <c:pt idx="9">
                  <c:v>9.0516378575000029</c:v>
                </c:pt>
                <c:pt idx="10">
                  <c:v>9.5516378575000047</c:v>
                </c:pt>
                <c:pt idx="11">
                  <c:v>10.051637857500005</c:v>
                </c:pt>
                <c:pt idx="12">
                  <c:v>10.551637857500006</c:v>
                </c:pt>
                <c:pt idx="13">
                  <c:v>11.051637857500008</c:v>
                </c:pt>
                <c:pt idx="14">
                  <c:v>11.551637857500008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3.2</c:v>
                </c:pt>
                <c:pt idx="1">
                  <c:v>3.35</c:v>
                </c:pt>
                <c:pt idx="2">
                  <c:v>3.5</c:v>
                </c:pt>
                <c:pt idx="3">
                  <c:v>3.65</c:v>
                </c:pt>
                <c:pt idx="4">
                  <c:v>3.8</c:v>
                </c:pt>
                <c:pt idx="5">
                  <c:v>3.9499999999999997</c:v>
                </c:pt>
                <c:pt idx="6">
                  <c:v>4.0999999999999996</c:v>
                </c:pt>
                <c:pt idx="7">
                  <c:v>4.25</c:v>
                </c:pt>
                <c:pt idx="8">
                  <c:v>4.4000000000000004</c:v>
                </c:pt>
                <c:pt idx="9">
                  <c:v>4.5500000000000007</c:v>
                </c:pt>
                <c:pt idx="10">
                  <c:v>4.7000000000000011</c:v>
                </c:pt>
                <c:pt idx="11">
                  <c:v>4.8500000000000014</c:v>
                </c:pt>
                <c:pt idx="12">
                  <c:v>5.0000000000000018</c:v>
                </c:pt>
                <c:pt idx="13">
                  <c:v>5.1500000000000021</c:v>
                </c:pt>
                <c:pt idx="14">
                  <c:v>5.3000000000000025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5.710719179583335</c:v>
                </c:pt>
                <c:pt idx="1">
                  <c:v>6.1357191795833348</c:v>
                </c:pt>
                <c:pt idx="2">
                  <c:v>6.5607191795833346</c:v>
                </c:pt>
                <c:pt idx="3">
                  <c:v>6.9857191795833353</c:v>
                </c:pt>
                <c:pt idx="4">
                  <c:v>7.4107191795833351</c:v>
                </c:pt>
                <c:pt idx="5">
                  <c:v>7.835719179583335</c:v>
                </c:pt>
                <c:pt idx="6">
                  <c:v>8.260719179583333</c:v>
                </c:pt>
                <c:pt idx="7">
                  <c:v>8.6857191795833355</c:v>
                </c:pt>
                <c:pt idx="8">
                  <c:v>9.1107191795833362</c:v>
                </c:pt>
                <c:pt idx="9">
                  <c:v>9.5357191795833369</c:v>
                </c:pt>
                <c:pt idx="10">
                  <c:v>9.9607191795833394</c:v>
                </c:pt>
                <c:pt idx="11">
                  <c:v>10.385719179583338</c:v>
                </c:pt>
                <c:pt idx="12">
                  <c:v>10.810719179583341</c:v>
                </c:pt>
                <c:pt idx="13">
                  <c:v>11.23571917958334</c:v>
                </c:pt>
                <c:pt idx="14">
                  <c:v>11.660719179583342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7104"/>
        <c:axId val="138529024"/>
      </c:lineChart>
      <c:catAx>
        <c:axId val="13852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529024"/>
        <c:crosses val="autoZero"/>
        <c:auto val="1"/>
        <c:lblAlgn val="ctr"/>
        <c:lblOffset val="100"/>
        <c:noMultiLvlLbl val="0"/>
      </c:catAx>
      <c:valAx>
        <c:axId val="13852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52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39"/>
          <c:y val="0.7080328507323681"/>
          <c:w val="0.24596286333773493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BC447"/>
  <sheetViews>
    <sheetView tabSelected="1" zoomScale="150" zoomScaleNormal="150" zoomScaleSheetLayoutView="87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85546875" defaultRowHeight="12.75" x14ac:dyDescent="0.2"/>
  <cols>
    <col min="1" max="1" width="33" style="96" customWidth="1"/>
    <col min="2" max="2" width="5.42578125" style="102" bestFit="1" customWidth="1"/>
    <col min="3" max="3" width="3" style="102" bestFit="1" customWidth="1"/>
    <col min="4" max="4" width="5.42578125" style="102" bestFit="1" customWidth="1"/>
    <col min="5" max="5" width="4" style="102" bestFit="1" customWidth="1"/>
    <col min="6" max="6" width="5.42578125" style="102" bestFit="1" customWidth="1"/>
    <col min="7" max="7" width="3.42578125" style="102" bestFit="1" customWidth="1"/>
    <col min="8" max="8" width="5.42578125" style="102" bestFit="1" customWidth="1"/>
    <col min="9" max="9" width="3.42578125" style="102" bestFit="1" customWidth="1"/>
    <col min="10" max="10" width="5.42578125" style="102" bestFit="1" customWidth="1"/>
    <col min="11" max="11" width="3.42578125" style="102" bestFit="1" customWidth="1"/>
    <col min="12" max="12" width="5.7109375" style="102" bestFit="1" customWidth="1"/>
    <col min="13" max="13" width="3.42578125" style="102" customWidth="1"/>
    <col min="14" max="14" width="5.42578125" style="102" bestFit="1" customWidth="1"/>
    <col min="15" max="15" width="3" style="102" bestFit="1" customWidth="1"/>
    <col min="16" max="16" width="5.42578125" style="102" bestFit="1" customWidth="1"/>
    <col min="17" max="17" width="4" style="102" bestFit="1" customWidth="1"/>
    <col min="18" max="18" width="5.42578125" style="102" bestFit="1" customWidth="1"/>
    <col min="19" max="19" width="3.42578125" style="102" bestFit="1" customWidth="1"/>
    <col min="20" max="20" width="5.42578125" style="102" bestFit="1" customWidth="1"/>
    <col min="21" max="21" width="3.42578125" style="102" bestFit="1" customWidth="1"/>
    <col min="22" max="22" width="5.42578125" style="102" bestFit="1" customWidth="1"/>
    <col min="23" max="23" width="3.42578125" style="102" bestFit="1" customWidth="1"/>
    <col min="24" max="24" width="5.42578125" style="102" bestFit="1" customWidth="1"/>
    <col min="25" max="25" width="3.42578125" style="102" customWidth="1"/>
    <col min="26" max="26" width="5.5703125" style="102" bestFit="1" customWidth="1"/>
    <col min="27" max="27" width="6.42578125" style="102" bestFit="1" customWidth="1"/>
    <col min="28" max="28" width="8.85546875" style="102"/>
    <col min="29" max="55" width="8.85546875" style="101"/>
    <col min="56" max="16384" width="8.85546875" style="102"/>
  </cols>
  <sheetData>
    <row r="1" spans="1:55" x14ac:dyDescent="0.2">
      <c r="A1" s="94" t="s">
        <v>177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01"/>
      <c r="AB1" s="101"/>
      <c r="BC1" s="102"/>
    </row>
    <row r="2" spans="1:55" s="96" customFormat="1" ht="12" x14ac:dyDescent="0.2">
      <c r="A2" s="97" t="s">
        <v>128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spans="1:55" x14ac:dyDescent="0.2">
      <c r="A3" s="233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62"/>
      <c r="Z3" s="101"/>
      <c r="AA3" s="101"/>
      <c r="AB3" s="101"/>
      <c r="BA3" s="102"/>
      <c r="BB3" s="102"/>
      <c r="BC3" s="102"/>
    </row>
    <row r="4" spans="1:55" x14ac:dyDescent="0.2">
      <c r="A4" s="177" t="s">
        <v>25</v>
      </c>
      <c r="B4" s="364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5"/>
      <c r="N4" s="362" t="s">
        <v>1</v>
      </c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3"/>
      <c r="Z4" s="101"/>
      <c r="AA4" s="101"/>
      <c r="AB4" s="101"/>
      <c r="BB4" s="102"/>
      <c r="BC4" s="102"/>
    </row>
    <row r="5" spans="1:55" s="164" customFormat="1" x14ac:dyDescent="0.2">
      <c r="A5" s="178"/>
      <c r="B5" s="384"/>
      <c r="C5" s="370"/>
      <c r="D5" s="369"/>
      <c r="E5" s="369"/>
      <c r="F5" s="371"/>
      <c r="G5" s="371"/>
      <c r="H5" s="371"/>
      <c r="I5" s="371"/>
      <c r="J5" s="381" t="s">
        <v>23</v>
      </c>
      <c r="K5" s="377"/>
      <c r="L5" s="377" t="s">
        <v>22</v>
      </c>
      <c r="M5" s="378"/>
      <c r="N5" s="370"/>
      <c r="O5" s="370"/>
      <c r="P5" s="369"/>
      <c r="Q5" s="369"/>
      <c r="R5" s="371"/>
      <c r="S5" s="371"/>
      <c r="T5" s="371"/>
      <c r="U5" s="371"/>
      <c r="V5" s="371" t="s">
        <v>23</v>
      </c>
      <c r="W5" s="371"/>
      <c r="X5" s="370"/>
      <c r="Y5" s="372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</row>
    <row r="6" spans="1:55" s="164" customFormat="1" x14ac:dyDescent="0.2">
      <c r="A6" s="178"/>
      <c r="B6" s="383" t="s">
        <v>2</v>
      </c>
      <c r="C6" s="374"/>
      <c r="D6" s="376" t="s">
        <v>3</v>
      </c>
      <c r="E6" s="376"/>
      <c r="F6" s="373" t="s">
        <v>4</v>
      </c>
      <c r="G6" s="373"/>
      <c r="H6" s="373" t="s">
        <v>5</v>
      </c>
      <c r="I6" s="373"/>
      <c r="J6" s="382" t="s">
        <v>6</v>
      </c>
      <c r="K6" s="379"/>
      <c r="L6" s="379" t="s">
        <v>7</v>
      </c>
      <c r="M6" s="380"/>
      <c r="N6" s="374" t="s">
        <v>2</v>
      </c>
      <c r="O6" s="374"/>
      <c r="P6" s="376" t="s">
        <v>3</v>
      </c>
      <c r="Q6" s="376"/>
      <c r="R6" s="373" t="s">
        <v>4</v>
      </c>
      <c r="S6" s="373"/>
      <c r="T6" s="373" t="s">
        <v>5</v>
      </c>
      <c r="U6" s="373"/>
      <c r="V6" s="373" t="s">
        <v>6</v>
      </c>
      <c r="W6" s="373"/>
      <c r="X6" s="374" t="s">
        <v>7</v>
      </c>
      <c r="Y6" s="375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</row>
    <row r="7" spans="1:55" x14ac:dyDescent="0.2">
      <c r="A7" s="109" t="s">
        <v>156</v>
      </c>
      <c r="B7" s="294">
        <v>1200</v>
      </c>
      <c r="C7" s="293" t="s">
        <v>160</v>
      </c>
      <c r="D7" s="284">
        <f>'Peanut Price Calculator'!B10</f>
        <v>4700</v>
      </c>
      <c r="E7" s="285" t="s">
        <v>160</v>
      </c>
      <c r="F7" s="288">
        <v>200</v>
      </c>
      <c r="G7" s="289" t="s">
        <v>163</v>
      </c>
      <c r="H7" s="288">
        <v>60</v>
      </c>
      <c r="I7" s="289" t="s">
        <v>163</v>
      </c>
      <c r="J7" s="288">
        <v>100</v>
      </c>
      <c r="K7" s="289" t="s">
        <v>163</v>
      </c>
      <c r="L7" s="290">
        <v>75</v>
      </c>
      <c r="M7" s="292" t="s">
        <v>163</v>
      </c>
      <c r="N7" s="290">
        <v>750</v>
      </c>
      <c r="O7" s="293" t="s">
        <v>160</v>
      </c>
      <c r="P7" s="284">
        <f>'Peanut Price Calculator'!B21</f>
        <v>3400</v>
      </c>
      <c r="Q7" s="285" t="s">
        <v>160</v>
      </c>
      <c r="R7" s="288">
        <v>85</v>
      </c>
      <c r="S7" s="289" t="s">
        <v>163</v>
      </c>
      <c r="T7" s="288">
        <v>30</v>
      </c>
      <c r="U7" s="289" t="s">
        <v>163</v>
      </c>
      <c r="V7" s="288">
        <v>65</v>
      </c>
      <c r="W7" s="289" t="s">
        <v>163</v>
      </c>
      <c r="X7" s="290">
        <v>55</v>
      </c>
      <c r="Y7" s="291" t="s">
        <v>163</v>
      </c>
      <c r="Z7" s="101"/>
      <c r="AA7" s="101"/>
      <c r="AB7" s="101"/>
      <c r="BB7" s="102"/>
      <c r="BC7" s="102"/>
    </row>
    <row r="8" spans="1:55" ht="13.5" thickBot="1" x14ac:dyDescent="0.25">
      <c r="A8" s="110" t="s">
        <v>124</v>
      </c>
      <c r="B8" s="283">
        <v>0.7</v>
      </c>
      <c r="C8" s="282" t="s">
        <v>161</v>
      </c>
      <c r="D8" s="286">
        <f>'Peanut Price Calculator'!B17</f>
        <v>400</v>
      </c>
      <c r="E8" s="287" t="s">
        <v>162</v>
      </c>
      <c r="F8" s="279">
        <v>4.25</v>
      </c>
      <c r="G8" s="276" t="s">
        <v>164</v>
      </c>
      <c r="H8" s="279">
        <v>9.75</v>
      </c>
      <c r="I8" s="276" t="s">
        <v>164</v>
      </c>
      <c r="J8" s="279">
        <v>3.8</v>
      </c>
      <c r="K8" s="276" t="s">
        <v>164</v>
      </c>
      <c r="L8" s="280">
        <v>5.25</v>
      </c>
      <c r="M8" s="281" t="s">
        <v>164</v>
      </c>
      <c r="N8" s="277">
        <f>B8</f>
        <v>0.7</v>
      </c>
      <c r="O8" s="282" t="s">
        <v>161</v>
      </c>
      <c r="P8" s="286">
        <f>'Peanut Price Calculator'!B28</f>
        <v>400</v>
      </c>
      <c r="Q8" s="287" t="s">
        <v>162</v>
      </c>
      <c r="R8" s="275">
        <f>F8</f>
        <v>4.25</v>
      </c>
      <c r="S8" s="276" t="s">
        <v>164</v>
      </c>
      <c r="T8" s="275">
        <f>H8</f>
        <v>9.75</v>
      </c>
      <c r="U8" s="276" t="s">
        <v>164</v>
      </c>
      <c r="V8" s="275">
        <f>J8</f>
        <v>3.8</v>
      </c>
      <c r="W8" s="276" t="s">
        <v>164</v>
      </c>
      <c r="X8" s="277">
        <f>L8</f>
        <v>5.25</v>
      </c>
      <c r="Y8" s="278" t="s">
        <v>164</v>
      </c>
      <c r="Z8" s="101"/>
      <c r="AA8" s="101"/>
      <c r="AB8" s="101"/>
      <c r="BB8" s="102"/>
      <c r="BC8" s="102"/>
    </row>
    <row r="9" spans="1:55" x14ac:dyDescent="0.2">
      <c r="A9" s="111" t="s">
        <v>157</v>
      </c>
      <c r="B9" s="366">
        <f>B7*B8</f>
        <v>840</v>
      </c>
      <c r="C9" s="342"/>
      <c r="D9" s="346">
        <f>D8*(D7/2000)</f>
        <v>940</v>
      </c>
      <c r="E9" s="346"/>
      <c r="F9" s="346">
        <f>F7*F8</f>
        <v>850</v>
      </c>
      <c r="G9" s="346"/>
      <c r="H9" s="346">
        <f>H7*H8</f>
        <v>585</v>
      </c>
      <c r="I9" s="346"/>
      <c r="J9" s="350">
        <f>J7*J8</f>
        <v>380</v>
      </c>
      <c r="K9" s="351"/>
      <c r="L9" s="351">
        <f>L7*L8</f>
        <v>393.75</v>
      </c>
      <c r="M9" s="352"/>
      <c r="N9" s="342">
        <f>N7*N8</f>
        <v>525</v>
      </c>
      <c r="O9" s="342"/>
      <c r="P9" s="346">
        <f>P8*(P7/2000)</f>
        <v>680</v>
      </c>
      <c r="Q9" s="346"/>
      <c r="R9" s="346">
        <f>R7*R8</f>
        <v>361.25</v>
      </c>
      <c r="S9" s="346"/>
      <c r="T9" s="346">
        <f>T7*T8</f>
        <v>292.5</v>
      </c>
      <c r="U9" s="346"/>
      <c r="V9" s="346">
        <f>V7*V8</f>
        <v>247</v>
      </c>
      <c r="W9" s="346"/>
      <c r="X9" s="342">
        <f>X7*X8</f>
        <v>288.75</v>
      </c>
      <c r="Y9" s="343"/>
      <c r="Z9" s="101"/>
      <c r="AA9" s="101"/>
      <c r="AB9" s="101"/>
      <c r="BB9" s="102"/>
      <c r="BC9" s="102"/>
    </row>
    <row r="10" spans="1:55" x14ac:dyDescent="0.2">
      <c r="A10" s="112" t="s">
        <v>158</v>
      </c>
      <c r="B10" s="368"/>
      <c r="C10" s="348"/>
      <c r="D10" s="347"/>
      <c r="E10" s="347"/>
      <c r="F10" s="347"/>
      <c r="G10" s="347"/>
      <c r="H10" s="347"/>
      <c r="I10" s="347"/>
      <c r="J10" s="356"/>
      <c r="K10" s="353"/>
      <c r="L10" s="353"/>
      <c r="M10" s="354"/>
      <c r="N10" s="348"/>
      <c r="O10" s="348"/>
      <c r="P10" s="347"/>
      <c r="Q10" s="347"/>
      <c r="R10" s="347"/>
      <c r="S10" s="347"/>
      <c r="T10" s="347"/>
      <c r="U10" s="347"/>
      <c r="V10" s="347"/>
      <c r="W10" s="347"/>
      <c r="X10" s="348"/>
      <c r="Y10" s="349"/>
      <c r="Z10" s="101"/>
      <c r="AA10" s="101"/>
      <c r="AB10" s="101"/>
      <c r="BB10" s="102"/>
      <c r="BC10" s="102"/>
    </row>
    <row r="11" spans="1:55" x14ac:dyDescent="0.2">
      <c r="A11" s="106" t="s">
        <v>24</v>
      </c>
      <c r="B11" s="367">
        <v>91.32</v>
      </c>
      <c r="C11" s="340"/>
      <c r="D11" s="355">
        <v>94.5</v>
      </c>
      <c r="E11" s="355"/>
      <c r="F11" s="355">
        <v>94.4</v>
      </c>
      <c r="G11" s="355"/>
      <c r="H11" s="355">
        <v>50</v>
      </c>
      <c r="I11" s="355"/>
      <c r="J11" s="357">
        <v>13.5</v>
      </c>
      <c r="K11" s="358"/>
      <c r="L11" s="358">
        <f>49.5</f>
        <v>49.5</v>
      </c>
      <c r="M11" s="359"/>
      <c r="N11" s="340">
        <v>91.32</v>
      </c>
      <c r="O11" s="340"/>
      <c r="P11" s="355">
        <v>94.5</v>
      </c>
      <c r="Q11" s="355"/>
      <c r="R11" s="355">
        <v>51</v>
      </c>
      <c r="S11" s="355"/>
      <c r="T11" s="355">
        <v>50</v>
      </c>
      <c r="U11" s="355"/>
      <c r="V11" s="355">
        <v>8.25</v>
      </c>
      <c r="W11" s="355"/>
      <c r="X11" s="340">
        <v>30</v>
      </c>
      <c r="Y11" s="341"/>
      <c r="Z11" s="101"/>
      <c r="AA11" s="101"/>
      <c r="AB11" s="101"/>
      <c r="BB11" s="102"/>
      <c r="BC11" s="102"/>
    </row>
    <row r="12" spans="1:55" x14ac:dyDescent="0.2">
      <c r="A12" s="106" t="s">
        <v>8</v>
      </c>
      <c r="B12" s="317">
        <f>B7/495*0.5</f>
        <v>1.2121212121212122</v>
      </c>
      <c r="C12" s="318"/>
      <c r="D12" s="308"/>
      <c r="E12" s="308"/>
      <c r="F12" s="308"/>
      <c r="G12" s="308"/>
      <c r="H12" s="308"/>
      <c r="I12" s="308"/>
      <c r="J12" s="318"/>
      <c r="K12" s="318"/>
      <c r="L12" s="308"/>
      <c r="M12" s="308"/>
      <c r="N12" s="317">
        <f>N7/495*0.5</f>
        <v>0.75757575757575757</v>
      </c>
      <c r="O12" s="318"/>
      <c r="P12" s="308"/>
      <c r="Q12" s="308"/>
      <c r="R12" s="308"/>
      <c r="S12" s="308"/>
      <c r="T12" s="308"/>
      <c r="U12" s="308"/>
      <c r="V12" s="308"/>
      <c r="W12" s="308"/>
      <c r="X12" s="318"/>
      <c r="Y12" s="325"/>
      <c r="Z12" s="101"/>
      <c r="AA12" s="101"/>
      <c r="AB12" s="101"/>
      <c r="BB12" s="102"/>
      <c r="BC12" s="102"/>
    </row>
    <row r="13" spans="1:55" x14ac:dyDescent="0.2">
      <c r="A13" s="106" t="s">
        <v>27</v>
      </c>
      <c r="B13" s="317">
        <f>14+2.63+B7*0.075*$D$45+0.05833*B7*$F$45+0.05833*B7*$H$45</f>
        <v>131.22664</v>
      </c>
      <c r="C13" s="318"/>
      <c r="D13" s="308">
        <f>52+8+2.25</f>
        <v>62.25</v>
      </c>
      <c r="E13" s="308"/>
      <c r="F13" s="308">
        <f>22+F7*1.2*$D$45+F7*0.6*$F$45+F7*$H$45</f>
        <v>304.39999999999998</v>
      </c>
      <c r="G13" s="308"/>
      <c r="H13" s="308">
        <f>4+14.52+0.6667*H7*$F$45+1.333*H7*$H$45+2.25</f>
        <v>70.762660000000011</v>
      </c>
      <c r="I13" s="308"/>
      <c r="J13" s="318">
        <f>22+1.25*J7*$D$45+0.6*J7*$F$45+0.9*J7*$H$45</f>
        <v>162.19999999999999</v>
      </c>
      <c r="K13" s="318"/>
      <c r="L13" s="308">
        <f>11+1.6*L7*$D$45+0.6667*L7*$F$45+0.8*L7*$H$45</f>
        <v>131.50107500000001</v>
      </c>
      <c r="M13" s="308"/>
      <c r="N13" s="317">
        <f>14+2.63+0.0933*N7*$D$45+0.0667*N7*$F$45+0.0667*N7*$H$45</f>
        <v>102.0355</v>
      </c>
      <c r="O13" s="318"/>
      <c r="P13" s="308">
        <f>8+2.25+52</f>
        <v>62.25</v>
      </c>
      <c r="Q13" s="308"/>
      <c r="R13" s="308">
        <f>11+R7*1.2*$D$45+0.4706*R7*$F$45+0.7059*R7*$H$45</f>
        <v>116.041045</v>
      </c>
      <c r="S13" s="308"/>
      <c r="T13" s="308">
        <f>4+14.52+1.3333*T7*$F$45+2.6667*T7*$H$45+2.25</f>
        <v>70.769980000000004</v>
      </c>
      <c r="U13" s="308"/>
      <c r="V13" s="308">
        <f>11+1.2308*V7*$D$45+0.6154*V7*$F$45+0.9231*V7*$H$45</f>
        <v>102.40228500000001</v>
      </c>
      <c r="W13" s="308"/>
      <c r="X13" s="318">
        <f>11+1.4545*X7*$D$45+0.7273*X7*$F$45+0.7273*X7*$H$45</f>
        <v>94.199709999999996</v>
      </c>
      <c r="Y13" s="325"/>
      <c r="Z13" s="101"/>
      <c r="AA13" s="264"/>
      <c r="AB13" s="101"/>
      <c r="BB13" s="102"/>
      <c r="BC13" s="102"/>
    </row>
    <row r="14" spans="1:55" x14ac:dyDescent="0.2">
      <c r="A14" s="106" t="s">
        <v>126</v>
      </c>
      <c r="B14" s="317"/>
      <c r="C14" s="318"/>
      <c r="D14" s="308"/>
      <c r="E14" s="308"/>
      <c r="F14" s="308"/>
      <c r="G14" s="308"/>
      <c r="H14" s="308"/>
      <c r="I14" s="308"/>
      <c r="J14" s="318"/>
      <c r="K14" s="318"/>
      <c r="L14" s="308"/>
      <c r="M14" s="308"/>
      <c r="N14" s="317"/>
      <c r="O14" s="318"/>
      <c r="P14" s="308"/>
      <c r="Q14" s="308"/>
      <c r="R14" s="308"/>
      <c r="S14" s="308"/>
      <c r="T14" s="308"/>
      <c r="U14" s="308"/>
      <c r="V14" s="308"/>
      <c r="W14" s="308"/>
      <c r="X14" s="318"/>
      <c r="Y14" s="325"/>
      <c r="Z14" s="101"/>
      <c r="AA14" s="264"/>
      <c r="AB14" s="101"/>
      <c r="BB14" s="102"/>
      <c r="BC14" s="102"/>
    </row>
    <row r="15" spans="1:55" x14ac:dyDescent="0.2">
      <c r="A15" s="106" t="s">
        <v>9</v>
      </c>
      <c r="B15" s="317">
        <f>19.6+34.58+9+9.7+3.6+14.82+9</f>
        <v>100.29999999999998</v>
      </c>
      <c r="C15" s="318"/>
      <c r="D15" s="308">
        <f>44.3+46.2+74.67</f>
        <v>165.17000000000002</v>
      </c>
      <c r="E15" s="308"/>
      <c r="F15" s="308">
        <f>22.56+14.2</f>
        <v>36.76</v>
      </c>
      <c r="G15" s="308"/>
      <c r="H15" s="308">
        <f>27.43+5.02+30.6</f>
        <v>63.050000000000004</v>
      </c>
      <c r="I15" s="308"/>
      <c r="J15" s="318">
        <v>20.5</v>
      </c>
      <c r="K15" s="318"/>
      <c r="L15" s="308">
        <f>18.65+5.06+10</f>
        <v>33.709999999999994</v>
      </c>
      <c r="M15" s="308"/>
      <c r="N15" s="317">
        <f>19.6+34.58+9+9.7+1.6+14.82+9</f>
        <v>98.299999999999983</v>
      </c>
      <c r="O15" s="318"/>
      <c r="P15" s="308">
        <f>52.59+46.2+40.98</f>
        <v>139.77000000000001</v>
      </c>
      <c r="Q15" s="308"/>
      <c r="R15" s="308">
        <f>22.56+14.2</f>
        <v>36.76</v>
      </c>
      <c r="S15" s="308"/>
      <c r="T15" s="308">
        <f>23.75+5.02</f>
        <v>28.77</v>
      </c>
      <c r="U15" s="308"/>
      <c r="V15" s="308">
        <v>18.2</v>
      </c>
      <c r="W15" s="308"/>
      <c r="X15" s="318">
        <f>18.65+1.6</f>
        <v>20.25</v>
      </c>
      <c r="Y15" s="325"/>
      <c r="Z15" s="101"/>
      <c r="AA15" s="264"/>
      <c r="AB15" s="101"/>
      <c r="BB15" s="102"/>
      <c r="BC15" s="102"/>
    </row>
    <row r="16" spans="1:55" x14ac:dyDescent="0.2">
      <c r="A16" s="106" t="s">
        <v>174</v>
      </c>
      <c r="B16" s="234"/>
      <c r="C16" s="235"/>
      <c r="D16" s="305"/>
      <c r="E16" s="306"/>
      <c r="F16" s="305"/>
      <c r="G16" s="306"/>
      <c r="H16" s="305"/>
      <c r="I16" s="306"/>
      <c r="J16" s="235"/>
      <c r="K16" s="235"/>
      <c r="L16" s="305"/>
      <c r="M16" s="306"/>
      <c r="N16" s="234"/>
      <c r="O16" s="235"/>
      <c r="P16" s="305"/>
      <c r="Q16" s="306"/>
      <c r="R16" s="305"/>
      <c r="S16" s="306"/>
      <c r="T16" s="305"/>
      <c r="U16" s="306"/>
      <c r="V16" s="305"/>
      <c r="W16" s="306"/>
      <c r="X16" s="235"/>
      <c r="Y16" s="236"/>
      <c r="Z16" s="101"/>
      <c r="AA16" s="101"/>
      <c r="AB16" s="101"/>
      <c r="BB16" s="102"/>
      <c r="BC16" s="102"/>
    </row>
    <row r="17" spans="1:55" x14ac:dyDescent="0.2">
      <c r="A17" s="106" t="s">
        <v>175</v>
      </c>
      <c r="B17" s="317">
        <v>7.5</v>
      </c>
      <c r="C17" s="318"/>
      <c r="D17" s="308">
        <v>7.5</v>
      </c>
      <c r="E17" s="308"/>
      <c r="F17" s="308"/>
      <c r="G17" s="308"/>
      <c r="H17" s="308"/>
      <c r="I17" s="308"/>
      <c r="J17" s="318"/>
      <c r="K17" s="318"/>
      <c r="L17" s="308"/>
      <c r="M17" s="308"/>
      <c r="N17" s="317">
        <v>7.5</v>
      </c>
      <c r="O17" s="318"/>
      <c r="P17" s="308">
        <v>7.5</v>
      </c>
      <c r="Q17" s="308"/>
      <c r="R17" s="308"/>
      <c r="S17" s="308"/>
      <c r="T17" s="308"/>
      <c r="U17" s="308"/>
      <c r="V17" s="308"/>
      <c r="W17" s="308"/>
      <c r="X17" s="318"/>
      <c r="Y17" s="325"/>
      <c r="Z17" s="101"/>
      <c r="AA17" s="101"/>
      <c r="AB17" s="101"/>
      <c r="BB17" s="102"/>
      <c r="BC17" s="102"/>
    </row>
    <row r="18" spans="1:55" x14ac:dyDescent="0.2">
      <c r="A18" s="106" t="s">
        <v>10</v>
      </c>
      <c r="B18" s="317">
        <v>10</v>
      </c>
      <c r="C18" s="318"/>
      <c r="D18" s="308">
        <v>10</v>
      </c>
      <c r="E18" s="308"/>
      <c r="F18" s="308"/>
      <c r="G18" s="308"/>
      <c r="H18" s="308"/>
      <c r="I18" s="308"/>
      <c r="J18" s="318"/>
      <c r="K18" s="318"/>
      <c r="L18" s="308"/>
      <c r="M18" s="308"/>
      <c r="N18" s="317">
        <v>10</v>
      </c>
      <c r="O18" s="318"/>
      <c r="P18" s="308">
        <v>10</v>
      </c>
      <c r="Q18" s="308"/>
      <c r="R18" s="308"/>
      <c r="S18" s="308"/>
      <c r="T18" s="308"/>
      <c r="U18" s="308"/>
      <c r="V18" s="308"/>
      <c r="W18" s="308"/>
      <c r="X18" s="318"/>
      <c r="Y18" s="325"/>
      <c r="Z18" s="101"/>
      <c r="AA18" s="101"/>
      <c r="AB18" s="101"/>
      <c r="BB18" s="102"/>
      <c r="BC18" s="102"/>
    </row>
    <row r="19" spans="1:55" x14ac:dyDescent="0.2">
      <c r="A19" s="106" t="s">
        <v>28</v>
      </c>
      <c r="B19" s="317">
        <f>13.3*$B$46</f>
        <v>35.910000000000004</v>
      </c>
      <c r="C19" s="318"/>
      <c r="D19" s="308">
        <f>(9.2+7.9)*$B$46</f>
        <v>46.170000000000009</v>
      </c>
      <c r="E19" s="308"/>
      <c r="F19" s="308">
        <f>7.2*$B$46</f>
        <v>19.440000000000001</v>
      </c>
      <c r="G19" s="308"/>
      <c r="H19" s="308">
        <f>6*$B$46</f>
        <v>16.200000000000003</v>
      </c>
      <c r="I19" s="308"/>
      <c r="J19" s="318">
        <f>7.3*$B$46</f>
        <v>19.71</v>
      </c>
      <c r="K19" s="318"/>
      <c r="L19" s="308">
        <f>9.95*$B$46</f>
        <v>26.864999999999998</v>
      </c>
      <c r="M19" s="308"/>
      <c r="N19" s="317">
        <f>12.85*$B$46</f>
        <v>34.695</v>
      </c>
      <c r="O19" s="318"/>
      <c r="P19" s="308">
        <f>(9.2+7.9)*$B$46</f>
        <v>46.170000000000009</v>
      </c>
      <c r="Q19" s="308"/>
      <c r="R19" s="308">
        <f>7.2*$B$46</f>
        <v>19.440000000000001</v>
      </c>
      <c r="S19" s="308"/>
      <c r="T19" s="308">
        <f>6*$B$46</f>
        <v>16.200000000000003</v>
      </c>
      <c r="U19" s="308"/>
      <c r="V19" s="308">
        <f>7.3*$B$46</f>
        <v>19.71</v>
      </c>
      <c r="W19" s="308"/>
      <c r="X19" s="318">
        <f>5.54*$B$46</f>
        <v>14.958000000000002</v>
      </c>
      <c r="Y19" s="325"/>
      <c r="Z19" s="101"/>
      <c r="AA19" s="101"/>
      <c r="AB19" s="101"/>
      <c r="BB19" s="102"/>
      <c r="BC19" s="102"/>
    </row>
    <row r="20" spans="1:55" x14ac:dyDescent="0.2">
      <c r="A20" s="106" t="s">
        <v>11</v>
      </c>
      <c r="B20" s="317">
        <f>1.05*24.149475</f>
        <v>25.356948750000001</v>
      </c>
      <c r="C20" s="318"/>
      <c r="D20" s="308">
        <f>18.72+26.22</f>
        <v>44.94</v>
      </c>
      <c r="E20" s="308"/>
      <c r="F20" s="308">
        <f>10.66+7.49</f>
        <v>18.149999999999999</v>
      </c>
      <c r="G20" s="308"/>
      <c r="H20" s="308">
        <f>7.7+6.85</f>
        <v>14.55</v>
      </c>
      <c r="I20" s="308"/>
      <c r="J20" s="318">
        <f>10.96+6.52</f>
        <v>17.48</v>
      </c>
      <c r="K20" s="318"/>
      <c r="L20" s="308">
        <f>16.22+4.73</f>
        <v>20.95</v>
      </c>
      <c r="M20" s="308"/>
      <c r="N20" s="317">
        <f>1.05*22.9995</f>
        <v>24.149475000000002</v>
      </c>
      <c r="O20" s="318"/>
      <c r="P20" s="308">
        <f>18.72+26.22</f>
        <v>44.94</v>
      </c>
      <c r="Q20" s="308"/>
      <c r="R20" s="308">
        <f>10.66+7.49</f>
        <v>18.149999999999999</v>
      </c>
      <c r="S20" s="308"/>
      <c r="T20" s="308">
        <f>7.7+6.85</f>
        <v>14.55</v>
      </c>
      <c r="U20" s="308"/>
      <c r="V20" s="308">
        <f>10.96+6.52</f>
        <v>17.48</v>
      </c>
      <c r="W20" s="308"/>
      <c r="X20" s="318">
        <f>5.75+4.42</f>
        <v>10.17</v>
      </c>
      <c r="Y20" s="325"/>
      <c r="Z20" s="101"/>
      <c r="AA20" s="101"/>
      <c r="AB20" s="101"/>
      <c r="BB20" s="102"/>
      <c r="BC20" s="102"/>
    </row>
    <row r="21" spans="1:55" x14ac:dyDescent="0.2">
      <c r="A21" s="106" t="s">
        <v>29</v>
      </c>
      <c r="B21" s="317">
        <f>((7*8)+(4.6*$B$46*8))/2</f>
        <v>77.680000000000007</v>
      </c>
      <c r="C21" s="318"/>
      <c r="D21" s="308">
        <f>((7*6)+(4.6*$B$46*6))/2</f>
        <v>58.26</v>
      </c>
      <c r="E21" s="308"/>
      <c r="F21" s="308">
        <f>((7*8)+(4.6*$B$46*8))/2</f>
        <v>77.680000000000007</v>
      </c>
      <c r="G21" s="308"/>
      <c r="H21" s="308">
        <f>((7*5)+(4.6*$B$46*5))/2</f>
        <v>48.55</v>
      </c>
      <c r="I21" s="308"/>
      <c r="J21" s="318">
        <f>((7*4)+(4.6*$B$46*4))/2</f>
        <v>38.840000000000003</v>
      </c>
      <c r="K21" s="318"/>
      <c r="L21" s="318">
        <f>((7*2)+(4.6*$B$46*2))/2</f>
        <v>19.420000000000002</v>
      </c>
      <c r="M21" s="318"/>
      <c r="N21" s="317"/>
      <c r="O21" s="318"/>
      <c r="P21" s="308"/>
      <c r="Q21" s="308"/>
      <c r="R21" s="308"/>
      <c r="S21" s="308"/>
      <c r="T21" s="308"/>
      <c r="U21" s="308"/>
      <c r="V21" s="308"/>
      <c r="W21" s="308"/>
      <c r="X21" s="318"/>
      <c r="Y21" s="325"/>
      <c r="Z21" s="101"/>
      <c r="AA21" s="101"/>
      <c r="AB21" s="101"/>
      <c r="BB21" s="102"/>
      <c r="BC21" s="102"/>
    </row>
    <row r="22" spans="1:55" x14ac:dyDescent="0.2">
      <c r="A22" s="106" t="s">
        <v>13</v>
      </c>
      <c r="B22" s="317">
        <f>2.3*12</f>
        <v>27.599999999999998</v>
      </c>
      <c r="C22" s="318"/>
      <c r="D22" s="308">
        <v>30.16</v>
      </c>
      <c r="E22" s="308"/>
      <c r="F22" s="308">
        <v>12.11</v>
      </c>
      <c r="G22" s="308"/>
      <c r="H22" s="308">
        <v>10</v>
      </c>
      <c r="I22" s="308"/>
      <c r="J22" s="318">
        <f>11.41/11.25*12</f>
        <v>12.170666666666666</v>
      </c>
      <c r="K22" s="318"/>
      <c r="L22" s="308">
        <f>14.09</f>
        <v>14.09</v>
      </c>
      <c r="M22" s="308"/>
      <c r="N22" s="317">
        <v>26.77</v>
      </c>
      <c r="O22" s="318"/>
      <c r="P22" s="308">
        <v>30.16</v>
      </c>
      <c r="Q22" s="308"/>
      <c r="R22" s="308">
        <v>12.11</v>
      </c>
      <c r="S22" s="308"/>
      <c r="T22" s="308">
        <v>10</v>
      </c>
      <c r="U22" s="308"/>
      <c r="V22" s="308">
        <v>12.17</v>
      </c>
      <c r="W22" s="308"/>
      <c r="X22" s="318">
        <f>7.46</f>
        <v>7.46</v>
      </c>
      <c r="Y22" s="325"/>
      <c r="Z22" s="101"/>
      <c r="AA22" s="101"/>
      <c r="AB22" s="101"/>
      <c r="BB22" s="102"/>
      <c r="BC22" s="102"/>
    </row>
    <row r="23" spans="1:55" x14ac:dyDescent="0.2">
      <c r="A23" s="106" t="s">
        <v>14</v>
      </c>
      <c r="B23" s="317">
        <v>13</v>
      </c>
      <c r="C23" s="318"/>
      <c r="D23" s="308">
        <v>21</v>
      </c>
      <c r="E23" s="308"/>
      <c r="F23" s="308">
        <v>14</v>
      </c>
      <c r="G23" s="308"/>
      <c r="H23" s="308">
        <v>8</v>
      </c>
      <c r="I23" s="308"/>
      <c r="J23" s="318">
        <v>21</v>
      </c>
      <c r="K23" s="318"/>
      <c r="L23" s="308">
        <v>7</v>
      </c>
      <c r="M23" s="308"/>
      <c r="N23" s="317">
        <v>24</v>
      </c>
      <c r="O23" s="318"/>
      <c r="P23" s="308">
        <v>29</v>
      </c>
      <c r="Q23" s="308"/>
      <c r="R23" s="308">
        <v>23</v>
      </c>
      <c r="S23" s="308"/>
      <c r="T23" s="308">
        <v>14</v>
      </c>
      <c r="U23" s="308"/>
      <c r="V23" s="308">
        <v>17</v>
      </c>
      <c r="W23" s="308"/>
      <c r="X23" s="318">
        <v>10</v>
      </c>
      <c r="Y23" s="325"/>
      <c r="Z23" s="101"/>
      <c r="AA23" s="101"/>
      <c r="AB23" s="101"/>
      <c r="BB23" s="102"/>
      <c r="BC23" s="102"/>
    </row>
    <row r="24" spans="1:55" x14ac:dyDescent="0.2">
      <c r="A24" s="106" t="s">
        <v>127</v>
      </c>
      <c r="B24" s="317"/>
      <c r="C24" s="318"/>
      <c r="D24" s="308"/>
      <c r="E24" s="308"/>
      <c r="F24" s="308"/>
      <c r="G24" s="308"/>
      <c r="H24" s="308"/>
      <c r="I24" s="308"/>
      <c r="J24" s="318"/>
      <c r="K24" s="318"/>
      <c r="L24" s="308"/>
      <c r="M24" s="308"/>
      <c r="N24" s="317"/>
      <c r="O24" s="318"/>
      <c r="P24" s="308"/>
      <c r="Q24" s="308"/>
      <c r="R24" s="308"/>
      <c r="S24" s="308"/>
      <c r="T24" s="308"/>
      <c r="U24" s="308"/>
      <c r="V24" s="308"/>
      <c r="W24" s="308"/>
      <c r="X24" s="318"/>
      <c r="Y24" s="325"/>
      <c r="Z24" s="101"/>
      <c r="AA24" s="101"/>
      <c r="AB24" s="101"/>
      <c r="BB24" s="102"/>
      <c r="BC24" s="102"/>
    </row>
    <row r="25" spans="1:55" x14ac:dyDescent="0.2">
      <c r="A25" s="106" t="s">
        <v>16</v>
      </c>
      <c r="B25" s="317"/>
      <c r="C25" s="318"/>
      <c r="D25" s="308"/>
      <c r="E25" s="308"/>
      <c r="F25" s="308"/>
      <c r="G25" s="308"/>
      <c r="H25" s="308"/>
      <c r="I25" s="308"/>
      <c r="J25" s="318"/>
      <c r="K25" s="318"/>
      <c r="L25" s="308"/>
      <c r="M25" s="308"/>
      <c r="N25" s="317"/>
      <c r="O25" s="318"/>
      <c r="P25" s="308"/>
      <c r="Q25" s="308"/>
      <c r="R25" s="308"/>
      <c r="S25" s="308"/>
      <c r="T25" s="308"/>
      <c r="U25" s="308"/>
      <c r="V25" s="308"/>
      <c r="W25" s="308"/>
      <c r="X25" s="318"/>
      <c r="Y25" s="325"/>
      <c r="Z25" s="101"/>
      <c r="AA25" s="101"/>
      <c r="AB25" s="101"/>
      <c r="BB25" s="102"/>
      <c r="BC25" s="102"/>
    </row>
    <row r="26" spans="1:55" x14ac:dyDescent="0.2">
      <c r="A26" s="106" t="s">
        <v>17</v>
      </c>
      <c r="B26" s="360">
        <f t="shared" ref="B26:X26" si="0">(SUM(B11:B25))*0.5*0.065</f>
        <v>16.935935573768944</v>
      </c>
      <c r="C26" s="336"/>
      <c r="D26" s="338">
        <f t="shared" si="0"/>
        <v>17.548375000000004</v>
      </c>
      <c r="E26" s="338"/>
      <c r="F26" s="338">
        <f t="shared" si="0"/>
        <v>18.75055</v>
      </c>
      <c r="G26" s="338"/>
      <c r="H26" s="338">
        <f t="shared" si="0"/>
        <v>9.136161450000003</v>
      </c>
      <c r="I26" s="338"/>
      <c r="J26" s="336">
        <f t="shared" si="0"/>
        <v>9.9255216666666666</v>
      </c>
      <c r="K26" s="336"/>
      <c r="L26" s="338">
        <f>(SUM(L11:L25))*0.5*0.065</f>
        <v>9.8486724374999994</v>
      </c>
      <c r="M26" s="338"/>
      <c r="N26" s="360">
        <f t="shared" si="0"/>
        <v>13.63464539962121</v>
      </c>
      <c r="O26" s="336"/>
      <c r="P26" s="338">
        <f t="shared" si="0"/>
        <v>15.089425</v>
      </c>
      <c r="Q26" s="338"/>
      <c r="R26" s="338">
        <f t="shared" si="0"/>
        <v>8.9862839624999999</v>
      </c>
      <c r="S26" s="338"/>
      <c r="T26" s="338">
        <f t="shared" si="0"/>
        <v>6.6394243500000005</v>
      </c>
      <c r="U26" s="338"/>
      <c r="V26" s="338">
        <f t="shared" si="0"/>
        <v>6.3443992624999996</v>
      </c>
      <c r="W26" s="338"/>
      <c r="X26" s="336">
        <f t="shared" si="0"/>
        <v>6.0787255749999991</v>
      </c>
      <c r="Y26" s="337"/>
      <c r="Z26" s="101"/>
      <c r="AA26" s="101"/>
      <c r="AB26" s="101"/>
      <c r="BB26" s="102"/>
      <c r="BC26" s="102"/>
    </row>
    <row r="27" spans="1:55" x14ac:dyDescent="0.2">
      <c r="A27" s="106" t="s">
        <v>173</v>
      </c>
      <c r="B27" s="360">
        <f>B7*0.085+B7/495*17.13-1.37*B7/2000*200</f>
        <v>-20.872727272727275</v>
      </c>
      <c r="C27" s="336"/>
      <c r="D27" s="338"/>
      <c r="E27" s="338"/>
      <c r="F27" s="338"/>
      <c r="G27" s="338"/>
      <c r="H27" s="338"/>
      <c r="I27" s="338"/>
      <c r="J27" s="336"/>
      <c r="K27" s="336"/>
      <c r="L27" s="338"/>
      <c r="M27" s="338"/>
      <c r="N27" s="360">
        <f>N7*0.085+N7/495*17.13-1.37*N7/2000*200</f>
        <v>-13.045454545454547</v>
      </c>
      <c r="O27" s="336"/>
      <c r="P27" s="338"/>
      <c r="Q27" s="338"/>
      <c r="R27" s="338"/>
      <c r="S27" s="338"/>
      <c r="T27" s="338"/>
      <c r="U27" s="338"/>
      <c r="V27" s="338"/>
      <c r="W27" s="338"/>
      <c r="X27" s="336"/>
      <c r="Y27" s="337"/>
      <c r="Z27" s="101"/>
      <c r="AA27" s="101"/>
      <c r="AB27" s="101"/>
      <c r="BB27" s="102"/>
      <c r="BC27" s="102"/>
    </row>
    <row r="28" spans="1:55" x14ac:dyDescent="0.2">
      <c r="A28" s="106" t="s">
        <v>15</v>
      </c>
      <c r="B28" s="360"/>
      <c r="C28" s="336"/>
      <c r="D28" s="338">
        <f>D7/2000*0.33*20+D7/2000*0.67*30</f>
        <v>62.745000000000005</v>
      </c>
      <c r="E28" s="338"/>
      <c r="F28" s="338">
        <f>F7*1.0975*0.28</f>
        <v>61.46</v>
      </c>
      <c r="G28" s="338"/>
      <c r="H28" s="338"/>
      <c r="I28" s="338"/>
      <c r="J28" s="336">
        <f>J7*1.0975*0.28</f>
        <v>30.73</v>
      </c>
      <c r="K28" s="336"/>
      <c r="L28" s="338">
        <f>L7*1.03*0.09</f>
        <v>6.9524999999999997</v>
      </c>
      <c r="M28" s="338"/>
      <c r="N28" s="360"/>
      <c r="O28" s="336"/>
      <c r="P28" s="338">
        <f>P7/2000*0.33*20+P7/2000*0.67*30</f>
        <v>45.39</v>
      </c>
      <c r="Q28" s="338"/>
      <c r="R28" s="338">
        <f>R7*1.0975*0.28</f>
        <v>26.1205</v>
      </c>
      <c r="S28" s="338"/>
      <c r="T28" s="338"/>
      <c r="U28" s="338"/>
      <c r="V28" s="338">
        <f>V7*1.0975*0.28</f>
        <v>19.974499999999999</v>
      </c>
      <c r="W28" s="338"/>
      <c r="X28" s="336">
        <f>X7*1.03*0.09</f>
        <v>5.0984999999999996</v>
      </c>
      <c r="Y28" s="337"/>
      <c r="Z28" s="101"/>
      <c r="AA28" s="101"/>
      <c r="AB28" s="101"/>
      <c r="BB28" s="102"/>
      <c r="BC28" s="102"/>
    </row>
    <row r="29" spans="1:55" x14ac:dyDescent="0.2">
      <c r="A29" s="106" t="s">
        <v>18</v>
      </c>
      <c r="B29" s="319"/>
      <c r="C29" s="320"/>
      <c r="D29" s="309">
        <f>D7/2000*3+D7/2000*355*0.01</f>
        <v>15.3925</v>
      </c>
      <c r="E29" s="309"/>
      <c r="F29" s="309"/>
      <c r="G29" s="309"/>
      <c r="H29" s="309"/>
      <c r="I29" s="309"/>
      <c r="J29" s="320"/>
      <c r="K29" s="320"/>
      <c r="L29" s="309"/>
      <c r="M29" s="309"/>
      <c r="N29" s="319"/>
      <c r="O29" s="320"/>
      <c r="P29" s="309">
        <f>P7/2000*3+P7/2000*355*0.01</f>
        <v>11.135</v>
      </c>
      <c r="Q29" s="309"/>
      <c r="R29" s="309"/>
      <c r="S29" s="309"/>
      <c r="T29" s="309"/>
      <c r="U29" s="309"/>
      <c r="V29" s="309"/>
      <c r="W29" s="309"/>
      <c r="X29" s="320"/>
      <c r="Y29" s="329"/>
      <c r="Z29" s="101"/>
      <c r="AA29" s="101"/>
      <c r="AB29" s="101"/>
      <c r="BB29" s="102"/>
      <c r="BC29" s="102"/>
    </row>
    <row r="30" spans="1:55" ht="13.5" thickBot="1" x14ac:dyDescent="0.25">
      <c r="A30" s="126" t="s">
        <v>159</v>
      </c>
      <c r="B30" s="331">
        <f t="shared" ref="B30:X30" si="1">SUM(B11:B29)</f>
        <v>517.16891826316294</v>
      </c>
      <c r="C30" s="330"/>
      <c r="D30" s="312">
        <f t="shared" si="1"/>
        <v>635.63587500000006</v>
      </c>
      <c r="E30" s="312"/>
      <c r="F30" s="312">
        <f t="shared" si="1"/>
        <v>657.15054999999995</v>
      </c>
      <c r="G30" s="312"/>
      <c r="H30" s="312">
        <f t="shared" si="1"/>
        <v>290.24882145000004</v>
      </c>
      <c r="I30" s="312"/>
      <c r="J30" s="330">
        <f t="shared" si="1"/>
        <v>346.05618833333335</v>
      </c>
      <c r="K30" s="330"/>
      <c r="L30" s="312">
        <f>SUM(L11:L29)</f>
        <v>319.83724743749997</v>
      </c>
      <c r="M30" s="312"/>
      <c r="N30" s="331">
        <f t="shared" si="1"/>
        <v>420.11674161174233</v>
      </c>
      <c r="O30" s="330"/>
      <c r="P30" s="312">
        <f t="shared" si="1"/>
        <v>535.90442500000006</v>
      </c>
      <c r="Q30" s="312"/>
      <c r="R30" s="312">
        <f t="shared" si="1"/>
        <v>311.60782896249998</v>
      </c>
      <c r="S30" s="312"/>
      <c r="T30" s="312">
        <f t="shared" si="1"/>
        <v>210.92940435000003</v>
      </c>
      <c r="U30" s="312"/>
      <c r="V30" s="312">
        <f t="shared" si="1"/>
        <v>221.53118426249998</v>
      </c>
      <c r="W30" s="312"/>
      <c r="X30" s="330">
        <f t="shared" si="1"/>
        <v>198.21493557499997</v>
      </c>
      <c r="Y30" s="334"/>
      <c r="Z30" s="101"/>
      <c r="AA30" s="101"/>
      <c r="AB30" s="101"/>
      <c r="BB30" s="102"/>
      <c r="BC30" s="102"/>
    </row>
    <row r="31" spans="1:55" s="167" customFormat="1" x14ac:dyDescent="0.2">
      <c r="A31" s="165" t="s">
        <v>165</v>
      </c>
      <c r="B31" s="361">
        <f t="shared" ref="B31:X31" si="2">B9-B30</f>
        <v>322.83108173683706</v>
      </c>
      <c r="C31" s="344"/>
      <c r="D31" s="339">
        <f t="shared" si="2"/>
        <v>304.36412499999994</v>
      </c>
      <c r="E31" s="339"/>
      <c r="F31" s="339">
        <f t="shared" si="2"/>
        <v>192.84945000000005</v>
      </c>
      <c r="G31" s="339"/>
      <c r="H31" s="339">
        <f t="shared" si="2"/>
        <v>294.75117854999996</v>
      </c>
      <c r="I31" s="339"/>
      <c r="J31" s="344">
        <f t="shared" si="2"/>
        <v>33.943811666666647</v>
      </c>
      <c r="K31" s="344"/>
      <c r="L31" s="339">
        <f>L9-L30</f>
        <v>73.912752562500032</v>
      </c>
      <c r="M31" s="339"/>
      <c r="N31" s="361">
        <f t="shared" si="2"/>
        <v>104.88325838825767</v>
      </c>
      <c r="O31" s="344"/>
      <c r="P31" s="339">
        <f t="shared" si="2"/>
        <v>144.09557499999994</v>
      </c>
      <c r="Q31" s="339"/>
      <c r="R31" s="339">
        <f t="shared" si="2"/>
        <v>49.64217103750002</v>
      </c>
      <c r="S31" s="339"/>
      <c r="T31" s="339">
        <f t="shared" si="2"/>
        <v>81.570595649999973</v>
      </c>
      <c r="U31" s="339"/>
      <c r="V31" s="339">
        <f t="shared" si="2"/>
        <v>25.468815737500023</v>
      </c>
      <c r="W31" s="339"/>
      <c r="X31" s="344">
        <f t="shared" si="2"/>
        <v>90.53506442500003</v>
      </c>
      <c r="Y31" s="345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</row>
    <row r="32" spans="1:55" x14ac:dyDescent="0.2">
      <c r="A32" s="266" t="s">
        <v>172</v>
      </c>
      <c r="B32" s="267">
        <f>B30/B7</f>
        <v>0.4309740985526358</v>
      </c>
      <c r="C32" s="268" t="s">
        <v>161</v>
      </c>
      <c r="D32" s="269">
        <f>D30/D7*2000</f>
        <v>270.48335106382979</v>
      </c>
      <c r="E32" s="270" t="s">
        <v>162</v>
      </c>
      <c r="F32" s="271">
        <f>F30/F7</f>
        <v>3.2857527499999999</v>
      </c>
      <c r="G32" s="270" t="s">
        <v>164</v>
      </c>
      <c r="H32" s="271">
        <f>H30/H7</f>
        <v>4.8374803575000005</v>
      </c>
      <c r="I32" s="270" t="s">
        <v>164</v>
      </c>
      <c r="J32" s="272">
        <f>J30/J7</f>
        <v>3.4605618833333334</v>
      </c>
      <c r="K32" s="268" t="s">
        <v>164</v>
      </c>
      <c r="L32" s="271">
        <f>L30/L7</f>
        <v>4.2644966324999993</v>
      </c>
      <c r="M32" s="273" t="s">
        <v>164</v>
      </c>
      <c r="N32" s="272">
        <f>N30/N7</f>
        <v>0.56015565548232316</v>
      </c>
      <c r="O32" s="268" t="s">
        <v>161</v>
      </c>
      <c r="P32" s="269">
        <f>P30/P7*2000</f>
        <v>315.23789705882353</v>
      </c>
      <c r="Q32" s="270" t="s">
        <v>162</v>
      </c>
      <c r="R32" s="271">
        <f>R30/R7</f>
        <v>3.6659744583823528</v>
      </c>
      <c r="S32" s="270" t="s">
        <v>164</v>
      </c>
      <c r="T32" s="271">
        <f>T30/T7</f>
        <v>7.0309801450000009</v>
      </c>
      <c r="U32" s="270" t="s">
        <v>164</v>
      </c>
      <c r="V32" s="271">
        <f>V30/V7</f>
        <v>3.4081720655769225</v>
      </c>
      <c r="W32" s="270" t="s">
        <v>164</v>
      </c>
      <c r="X32" s="272">
        <f>X30/X7</f>
        <v>3.603907919545454</v>
      </c>
      <c r="Y32" s="274" t="s">
        <v>164</v>
      </c>
      <c r="Z32" s="101"/>
      <c r="AA32" s="101"/>
      <c r="AB32" s="101"/>
      <c r="BB32" s="102"/>
      <c r="BC32" s="102"/>
    </row>
    <row r="33" spans="1:55" x14ac:dyDescent="0.2">
      <c r="A33" s="109" t="s">
        <v>166</v>
      </c>
      <c r="B33" s="360"/>
      <c r="C33" s="336"/>
      <c r="D33" s="338"/>
      <c r="E33" s="338"/>
      <c r="F33" s="338"/>
      <c r="G33" s="338"/>
      <c r="H33" s="338"/>
      <c r="I33" s="338"/>
      <c r="J33" s="336"/>
      <c r="K33" s="336"/>
      <c r="L33" s="338"/>
      <c r="M33" s="338"/>
      <c r="N33" s="360"/>
      <c r="O33" s="336"/>
      <c r="P33" s="338"/>
      <c r="Q33" s="338"/>
      <c r="R33" s="338"/>
      <c r="S33" s="338"/>
      <c r="T33" s="338"/>
      <c r="U33" s="338"/>
      <c r="V33" s="338"/>
      <c r="W33" s="338"/>
      <c r="X33" s="336"/>
      <c r="Y33" s="337"/>
      <c r="Z33" s="101"/>
      <c r="AA33" s="101"/>
      <c r="AB33" s="101"/>
      <c r="BB33" s="102"/>
      <c r="BC33" s="102"/>
    </row>
    <row r="34" spans="1:55" x14ac:dyDescent="0.2">
      <c r="A34" s="106" t="s">
        <v>19</v>
      </c>
      <c r="B34" s="317">
        <f>1.05*114.01425</f>
        <v>119.71496250000001</v>
      </c>
      <c r="C34" s="318"/>
      <c r="D34" s="308">
        <f>54.18+79.62</f>
        <v>133.80000000000001</v>
      </c>
      <c r="E34" s="308"/>
      <c r="F34" s="308">
        <f>29.48+36.46</f>
        <v>65.94</v>
      </c>
      <c r="G34" s="308"/>
      <c r="H34" s="308">
        <f>21.97+33.46</f>
        <v>55.43</v>
      </c>
      <c r="I34" s="308"/>
      <c r="J34" s="318">
        <f>29.81+33.55</f>
        <v>63.36</v>
      </c>
      <c r="K34" s="318"/>
      <c r="L34" s="308">
        <f>47.42+22.01</f>
        <v>69.430000000000007</v>
      </c>
      <c r="M34" s="308"/>
      <c r="N34" s="317">
        <f>1.05*107.521</f>
        <v>112.89705000000001</v>
      </c>
      <c r="O34" s="318"/>
      <c r="P34" s="308">
        <f>54.18+79.62</f>
        <v>133.80000000000001</v>
      </c>
      <c r="Q34" s="308"/>
      <c r="R34" s="308">
        <f>29.48+36.46</f>
        <v>65.94</v>
      </c>
      <c r="S34" s="308"/>
      <c r="T34" s="308">
        <f>21.97+33.46</f>
        <v>55.43</v>
      </c>
      <c r="U34" s="308"/>
      <c r="V34" s="305">
        <f>29.81+33.55</f>
        <v>63.36</v>
      </c>
      <c r="W34" s="306"/>
      <c r="X34" s="318">
        <f>16.25+21.11</f>
        <v>37.36</v>
      </c>
      <c r="Y34" s="325"/>
      <c r="Z34" s="101"/>
      <c r="AA34" s="101"/>
      <c r="AB34" s="101"/>
      <c r="BB34" s="102"/>
      <c r="BC34" s="102"/>
    </row>
    <row r="35" spans="1:55" x14ac:dyDescent="0.2">
      <c r="A35" s="106" t="s">
        <v>12</v>
      </c>
      <c r="B35" s="317">
        <v>125</v>
      </c>
      <c r="C35" s="318"/>
      <c r="D35" s="308">
        <v>125</v>
      </c>
      <c r="E35" s="308"/>
      <c r="F35" s="308">
        <v>125</v>
      </c>
      <c r="G35" s="308"/>
      <c r="H35" s="308">
        <v>125</v>
      </c>
      <c r="I35" s="308"/>
      <c r="J35" s="318">
        <v>125</v>
      </c>
      <c r="K35" s="318"/>
      <c r="L35" s="308">
        <v>125</v>
      </c>
      <c r="M35" s="308"/>
      <c r="N35" s="317"/>
      <c r="O35" s="318"/>
      <c r="P35" s="308"/>
      <c r="Q35" s="308"/>
      <c r="R35" s="308"/>
      <c r="S35" s="308"/>
      <c r="T35" s="308"/>
      <c r="U35" s="308"/>
      <c r="V35" s="308"/>
      <c r="W35" s="308"/>
      <c r="X35" s="318"/>
      <c r="Y35" s="325"/>
      <c r="Z35" s="101"/>
      <c r="AA35" s="101"/>
      <c r="AB35" s="101"/>
      <c r="BB35" s="102"/>
      <c r="BC35" s="102"/>
    </row>
    <row r="36" spans="1:55" x14ac:dyDescent="0.2">
      <c r="A36" s="106" t="s">
        <v>20</v>
      </c>
      <c r="B36" s="317"/>
      <c r="C36" s="318"/>
      <c r="D36" s="308"/>
      <c r="E36" s="308"/>
      <c r="F36" s="308"/>
      <c r="G36" s="308"/>
      <c r="H36" s="308"/>
      <c r="I36" s="308"/>
      <c r="J36" s="318"/>
      <c r="K36" s="318"/>
      <c r="L36" s="308"/>
      <c r="M36" s="308"/>
      <c r="N36" s="317"/>
      <c r="O36" s="318"/>
      <c r="P36" s="308"/>
      <c r="Q36" s="308"/>
      <c r="R36" s="308"/>
      <c r="S36" s="308"/>
      <c r="T36" s="308"/>
      <c r="U36" s="308"/>
      <c r="V36" s="308"/>
      <c r="W36" s="308"/>
      <c r="X36" s="318"/>
      <c r="Y36" s="325"/>
      <c r="Z36" s="101"/>
      <c r="AA36" s="101"/>
      <c r="AB36" s="101"/>
      <c r="BB36" s="102"/>
      <c r="BC36" s="102"/>
    </row>
    <row r="37" spans="1:55" x14ac:dyDescent="0.2">
      <c r="A37" s="106" t="s">
        <v>21</v>
      </c>
      <c r="B37" s="319">
        <f>0.05*B30</f>
        <v>25.85844591315815</v>
      </c>
      <c r="C37" s="320"/>
      <c r="D37" s="309">
        <f>0.05*D30</f>
        <v>31.781793750000006</v>
      </c>
      <c r="E37" s="309"/>
      <c r="F37" s="309">
        <f>0.05*F30</f>
        <v>32.857527499999996</v>
      </c>
      <c r="G37" s="309"/>
      <c r="H37" s="309">
        <f>0.05*H30</f>
        <v>14.512441072500003</v>
      </c>
      <c r="I37" s="309"/>
      <c r="J37" s="320">
        <f>0.05*J30</f>
        <v>17.302809416666669</v>
      </c>
      <c r="K37" s="320"/>
      <c r="L37" s="309">
        <f>0.05*L30</f>
        <v>15.991862371874999</v>
      </c>
      <c r="M37" s="309"/>
      <c r="N37" s="319">
        <f>0.05*N30</f>
        <v>21.005837080587117</v>
      </c>
      <c r="O37" s="320"/>
      <c r="P37" s="309">
        <f>0.05*P30</f>
        <v>26.795221250000004</v>
      </c>
      <c r="Q37" s="309"/>
      <c r="R37" s="309">
        <f>0.05*R30</f>
        <v>15.580391448124999</v>
      </c>
      <c r="S37" s="309"/>
      <c r="T37" s="309">
        <f>0.05*T30</f>
        <v>10.546470217500001</v>
      </c>
      <c r="U37" s="309"/>
      <c r="V37" s="309">
        <f>0.05*V30</f>
        <v>11.076559213125</v>
      </c>
      <c r="W37" s="309"/>
      <c r="X37" s="320">
        <f>0.05*X30</f>
        <v>9.9107467787499992</v>
      </c>
      <c r="Y37" s="329"/>
      <c r="Z37" s="101"/>
      <c r="AA37" s="101"/>
      <c r="AB37" s="101"/>
      <c r="BB37" s="102"/>
      <c r="BC37" s="102"/>
    </row>
    <row r="38" spans="1:55" x14ac:dyDescent="0.2">
      <c r="A38" s="112" t="s">
        <v>167</v>
      </c>
      <c r="B38" s="321">
        <f t="shared" ref="B38:X38" si="3">SUM(B34:B37)</f>
        <v>270.57340841315818</v>
      </c>
      <c r="C38" s="322"/>
      <c r="D38" s="310">
        <f t="shared" si="3"/>
        <v>290.58179375000003</v>
      </c>
      <c r="E38" s="310"/>
      <c r="F38" s="310">
        <f t="shared" si="3"/>
        <v>223.7975275</v>
      </c>
      <c r="G38" s="310"/>
      <c r="H38" s="310">
        <f t="shared" si="3"/>
        <v>194.9424410725</v>
      </c>
      <c r="I38" s="310"/>
      <c r="J38" s="322">
        <f t="shared" si="3"/>
        <v>205.66280941666668</v>
      </c>
      <c r="K38" s="322"/>
      <c r="L38" s="310">
        <f>SUM(L34:L37)</f>
        <v>210.42186237187499</v>
      </c>
      <c r="M38" s="310"/>
      <c r="N38" s="321">
        <f t="shared" si="3"/>
        <v>133.90288708058713</v>
      </c>
      <c r="O38" s="322"/>
      <c r="P38" s="310">
        <f t="shared" si="3"/>
        <v>160.59522125000001</v>
      </c>
      <c r="Q38" s="310"/>
      <c r="R38" s="310">
        <f t="shared" si="3"/>
        <v>81.520391448124997</v>
      </c>
      <c r="S38" s="310"/>
      <c r="T38" s="310">
        <f t="shared" si="3"/>
        <v>65.976470217500008</v>
      </c>
      <c r="U38" s="310"/>
      <c r="V38" s="310">
        <f t="shared" si="3"/>
        <v>74.436559213124994</v>
      </c>
      <c r="W38" s="310"/>
      <c r="X38" s="322">
        <f t="shared" si="3"/>
        <v>47.270746778749995</v>
      </c>
      <c r="Y38" s="328"/>
      <c r="Z38" s="101"/>
      <c r="AA38" s="101"/>
      <c r="AB38" s="101"/>
      <c r="BB38" s="102"/>
      <c r="BC38" s="102"/>
    </row>
    <row r="39" spans="1:55" x14ac:dyDescent="0.2">
      <c r="A39" s="106"/>
      <c r="B39" s="136"/>
      <c r="C39" s="137"/>
      <c r="D39" s="311"/>
      <c r="E39" s="311"/>
      <c r="F39" s="311"/>
      <c r="G39" s="311"/>
      <c r="H39" s="311"/>
      <c r="I39" s="311"/>
      <c r="J39" s="326"/>
      <c r="K39" s="326"/>
      <c r="L39" s="311"/>
      <c r="M39" s="311"/>
      <c r="N39" s="332"/>
      <c r="O39" s="326"/>
      <c r="P39" s="311"/>
      <c r="Q39" s="311"/>
      <c r="R39" s="311"/>
      <c r="S39" s="311"/>
      <c r="T39" s="311"/>
      <c r="U39" s="311"/>
      <c r="V39" s="311"/>
      <c r="W39" s="311"/>
      <c r="X39" s="326"/>
      <c r="Y39" s="327"/>
      <c r="Z39" s="101"/>
      <c r="AA39" s="101"/>
      <c r="AB39" s="101"/>
      <c r="BB39" s="102"/>
      <c r="BC39" s="102"/>
    </row>
    <row r="40" spans="1:55" ht="13.5" thickBot="1" x14ac:dyDescent="0.25">
      <c r="A40" s="126" t="s">
        <v>168</v>
      </c>
      <c r="B40" s="331">
        <f>B38+B30</f>
        <v>787.74232667632111</v>
      </c>
      <c r="C40" s="330"/>
      <c r="D40" s="312">
        <f>D38+D30</f>
        <v>926.21766875000003</v>
      </c>
      <c r="E40" s="312"/>
      <c r="F40" s="312">
        <f>F38+F30</f>
        <v>880.94807749999995</v>
      </c>
      <c r="G40" s="312"/>
      <c r="H40" s="312">
        <f>H38+H30</f>
        <v>485.19126252250004</v>
      </c>
      <c r="I40" s="312"/>
      <c r="J40" s="330">
        <f>J38+J30</f>
        <v>551.71899774999997</v>
      </c>
      <c r="K40" s="330"/>
      <c r="L40" s="312">
        <f>L38+L30</f>
        <v>530.25910980937499</v>
      </c>
      <c r="M40" s="312"/>
      <c r="N40" s="331">
        <f>N38+N30</f>
        <v>554.01962869232943</v>
      </c>
      <c r="O40" s="330"/>
      <c r="P40" s="312">
        <f>P38+P30</f>
        <v>696.49964625000007</v>
      </c>
      <c r="Q40" s="312"/>
      <c r="R40" s="312">
        <f>R38+R30</f>
        <v>393.12822041062498</v>
      </c>
      <c r="S40" s="312"/>
      <c r="T40" s="312">
        <f>T38+T30</f>
        <v>276.90587456750006</v>
      </c>
      <c r="U40" s="312"/>
      <c r="V40" s="312">
        <f>V38+V30</f>
        <v>295.96774347562496</v>
      </c>
      <c r="W40" s="312"/>
      <c r="X40" s="330">
        <f>X38+X30</f>
        <v>245.48568235374995</v>
      </c>
      <c r="Y40" s="334"/>
      <c r="Z40" s="101"/>
      <c r="AA40" s="101"/>
      <c r="AB40" s="101"/>
      <c r="BB40" s="102"/>
      <c r="BC40" s="102"/>
    </row>
    <row r="41" spans="1:55" s="169" customFormat="1" ht="13.5" thickBot="1" x14ac:dyDescent="0.25">
      <c r="A41" s="141" t="s">
        <v>169</v>
      </c>
      <c r="B41" s="323">
        <f>B9-B40</f>
        <v>52.257673323678887</v>
      </c>
      <c r="C41" s="324"/>
      <c r="D41" s="316">
        <f>D9-D40</f>
        <v>13.78233124999997</v>
      </c>
      <c r="E41" s="316"/>
      <c r="F41" s="316">
        <f>F9-F40</f>
        <v>-30.948077499999954</v>
      </c>
      <c r="G41" s="316"/>
      <c r="H41" s="316">
        <f>H9-H40</f>
        <v>99.80873747749996</v>
      </c>
      <c r="I41" s="316"/>
      <c r="J41" s="324">
        <f>J9-J40</f>
        <v>-171.71899774999997</v>
      </c>
      <c r="K41" s="324"/>
      <c r="L41" s="316">
        <f>L9-L40</f>
        <v>-136.50910980937499</v>
      </c>
      <c r="M41" s="316"/>
      <c r="N41" s="323">
        <f>N9-N40</f>
        <v>-29.019628692329434</v>
      </c>
      <c r="O41" s="324"/>
      <c r="P41" s="316">
        <f>P9-P40</f>
        <v>-16.499646250000069</v>
      </c>
      <c r="Q41" s="316"/>
      <c r="R41" s="316">
        <f>R9-R40</f>
        <v>-31.878220410624976</v>
      </c>
      <c r="S41" s="316"/>
      <c r="T41" s="316">
        <f>T9-T40</f>
        <v>15.594125432499936</v>
      </c>
      <c r="U41" s="316"/>
      <c r="V41" s="316">
        <f>V9-V40</f>
        <v>-48.967743475624957</v>
      </c>
      <c r="W41" s="316"/>
      <c r="X41" s="324">
        <f>X9-X40</f>
        <v>43.264317646250049</v>
      </c>
      <c r="Y41" s="335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</row>
    <row r="42" spans="1:55" ht="13.5" thickTop="1" x14ac:dyDescent="0.2">
      <c r="A42" s="106"/>
      <c r="B42" s="142"/>
      <c r="C42" s="143"/>
      <c r="D42" s="313"/>
      <c r="E42" s="313"/>
      <c r="F42" s="303"/>
      <c r="G42" s="304"/>
      <c r="H42" s="303"/>
      <c r="I42" s="304"/>
      <c r="J42" s="143"/>
      <c r="K42" s="143"/>
      <c r="L42" s="303"/>
      <c r="M42" s="304"/>
      <c r="N42" s="314"/>
      <c r="O42" s="315"/>
      <c r="P42" s="313"/>
      <c r="Q42" s="313"/>
      <c r="R42" s="313"/>
      <c r="S42" s="313"/>
      <c r="T42" s="313"/>
      <c r="U42" s="313"/>
      <c r="V42" s="313"/>
      <c r="W42" s="313"/>
      <c r="X42" s="315"/>
      <c r="Y42" s="333"/>
      <c r="Z42" s="101"/>
      <c r="AA42" s="101"/>
      <c r="AB42" s="101"/>
      <c r="BB42" s="102"/>
      <c r="BC42" s="102"/>
    </row>
    <row r="43" spans="1:55" x14ac:dyDescent="0.2">
      <c r="A43" s="128" t="s">
        <v>34</v>
      </c>
      <c r="B43" s="170">
        <f>B40/B7</f>
        <v>0.65645193889693421</v>
      </c>
      <c r="C43" s="147" t="s">
        <v>161</v>
      </c>
      <c r="D43" s="245">
        <f>D40/D7*2000</f>
        <v>394.13517819148933</v>
      </c>
      <c r="E43" s="247" t="s">
        <v>162</v>
      </c>
      <c r="F43" s="246">
        <f>F40/F7</f>
        <v>4.4047403874999995</v>
      </c>
      <c r="G43" s="247" t="s">
        <v>164</v>
      </c>
      <c r="H43" s="246">
        <f>H40/H7</f>
        <v>8.0865210420416673</v>
      </c>
      <c r="I43" s="247" t="s">
        <v>164</v>
      </c>
      <c r="J43" s="246">
        <f>J40/J7</f>
        <v>5.5171899774999993</v>
      </c>
      <c r="K43" s="241" t="s">
        <v>164</v>
      </c>
      <c r="L43" s="131">
        <f>L40/L7</f>
        <v>7.0701214641250001</v>
      </c>
      <c r="M43" s="132" t="s">
        <v>164</v>
      </c>
      <c r="N43" s="148">
        <f>N40/N7</f>
        <v>0.73869283825643928</v>
      </c>
      <c r="O43" s="147" t="s">
        <v>161</v>
      </c>
      <c r="P43" s="242">
        <f>P40/P7*2000</f>
        <v>409.70567426470592</v>
      </c>
      <c r="Q43" s="241" t="s">
        <v>162</v>
      </c>
      <c r="R43" s="243">
        <f>R40/R7</f>
        <v>4.6250378871838231</v>
      </c>
      <c r="S43" s="241" t="s">
        <v>164</v>
      </c>
      <c r="T43" s="243">
        <f>T40/T7</f>
        <v>9.230195818916668</v>
      </c>
      <c r="U43" s="241" t="s">
        <v>164</v>
      </c>
      <c r="V43" s="243">
        <f>V40/V7</f>
        <v>4.5533498996249993</v>
      </c>
      <c r="W43" s="241" t="s">
        <v>164</v>
      </c>
      <c r="X43" s="148">
        <f>X40/X7</f>
        <v>4.4633760427954536</v>
      </c>
      <c r="Y43" s="133" t="s">
        <v>164</v>
      </c>
      <c r="Z43" s="101"/>
      <c r="AA43" s="101"/>
      <c r="AB43" s="101"/>
      <c r="BA43" s="102"/>
      <c r="BB43" s="102"/>
      <c r="BC43" s="102"/>
    </row>
    <row r="44" spans="1:55" x14ac:dyDescent="0.2">
      <c r="A44" s="149" t="s">
        <v>170</v>
      </c>
      <c r="B44" s="150">
        <f>B40/B8</f>
        <v>1125.3461809661731</v>
      </c>
      <c r="C44" s="151" t="s">
        <v>160</v>
      </c>
      <c r="D44" s="248">
        <f>D40/D8*2000</f>
        <v>4631.0883437499997</v>
      </c>
      <c r="E44" s="244" t="s">
        <v>160</v>
      </c>
      <c r="F44" s="249">
        <f>F40/F8</f>
        <v>207.28190058823529</v>
      </c>
      <c r="G44" s="241" t="s">
        <v>163</v>
      </c>
      <c r="H44" s="249">
        <f>H40/H8</f>
        <v>49.763206412564109</v>
      </c>
      <c r="I44" s="241" t="s">
        <v>163</v>
      </c>
      <c r="J44" s="249">
        <f>J40/J8</f>
        <v>145.18920993421054</v>
      </c>
      <c r="K44" s="265" t="s">
        <v>163</v>
      </c>
      <c r="L44" s="152">
        <f>L40/L8</f>
        <v>101.00173520178571</v>
      </c>
      <c r="M44" s="132" t="s">
        <v>163</v>
      </c>
      <c r="N44" s="152">
        <f>N40/N8</f>
        <v>791.45661241761354</v>
      </c>
      <c r="O44" s="151" t="s">
        <v>160</v>
      </c>
      <c r="P44" s="248">
        <f>P40/P8*2000</f>
        <v>3482.4982312500001</v>
      </c>
      <c r="Q44" s="244" t="s">
        <v>160</v>
      </c>
      <c r="R44" s="249">
        <f>R40/R8</f>
        <v>92.500757743676459</v>
      </c>
      <c r="S44" s="241" t="s">
        <v>163</v>
      </c>
      <c r="T44" s="249">
        <f>T40/T8</f>
        <v>28.400602519743597</v>
      </c>
      <c r="U44" s="241" t="s">
        <v>163</v>
      </c>
      <c r="V44" s="249">
        <f>V40/V8</f>
        <v>77.886248283059203</v>
      </c>
      <c r="W44" s="241" t="s">
        <v>163</v>
      </c>
      <c r="X44" s="152">
        <f>X40/X8</f>
        <v>46.759177591190465</v>
      </c>
      <c r="Y44" s="133" t="s">
        <v>163</v>
      </c>
      <c r="Z44" s="101"/>
      <c r="AA44" s="101"/>
      <c r="AB44" s="101"/>
      <c r="BA44" s="102"/>
      <c r="BB44" s="102"/>
      <c r="BC44" s="102"/>
    </row>
    <row r="45" spans="1:55" x14ac:dyDescent="0.2">
      <c r="A45" s="154" t="s">
        <v>178</v>
      </c>
      <c r="B45" s="101"/>
      <c r="C45" s="240" t="s">
        <v>171</v>
      </c>
      <c r="D45" s="171">
        <v>0.62</v>
      </c>
      <c r="E45" s="172" t="s">
        <v>65</v>
      </c>
      <c r="F45" s="171">
        <v>0.43</v>
      </c>
      <c r="G45" s="172" t="s">
        <v>66</v>
      </c>
      <c r="H45" s="237">
        <v>0.41</v>
      </c>
      <c r="I45" s="101"/>
      <c r="J45" s="101"/>
      <c r="K45" s="239"/>
      <c r="L45" s="239"/>
      <c r="M45" s="239"/>
      <c r="N45" s="101"/>
      <c r="O45" s="101"/>
      <c r="P45" s="101"/>
      <c r="Q45" s="239"/>
      <c r="R45" s="173"/>
      <c r="S45" s="173"/>
      <c r="T45" s="154"/>
      <c r="U45" s="154"/>
      <c r="V45" s="154"/>
      <c r="W45" s="154"/>
      <c r="X45" s="154"/>
      <c r="Y45" s="154"/>
      <c r="Z45" s="174"/>
      <c r="AA45" s="101"/>
      <c r="AB45" s="101"/>
      <c r="BC45" s="102"/>
    </row>
    <row r="46" spans="1:55" x14ac:dyDescent="0.2">
      <c r="A46" s="98" t="s">
        <v>179</v>
      </c>
      <c r="B46" s="250">
        <v>2.7</v>
      </c>
      <c r="C46" s="307" t="s">
        <v>67</v>
      </c>
      <c r="D46" s="307"/>
      <c r="E46" s="30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175"/>
      <c r="AA46" s="101"/>
      <c r="AB46" s="101"/>
      <c r="BC46" s="102"/>
    </row>
    <row r="47" spans="1:55" x14ac:dyDescent="0.2">
      <c r="A47" s="307" t="s">
        <v>182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176"/>
      <c r="AB47" s="101"/>
    </row>
    <row r="48" spans="1:55" x14ac:dyDescent="0.2">
      <c r="A48" s="95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</row>
    <row r="49" spans="1:1" s="101" customFormat="1" x14ac:dyDescent="0.2">
      <c r="A49" s="95"/>
    </row>
    <row r="50" spans="1:1" s="101" customFormat="1" x14ac:dyDescent="0.2">
      <c r="A50" s="95"/>
    </row>
    <row r="51" spans="1:1" s="101" customFormat="1" x14ac:dyDescent="0.2">
      <c r="A51" s="95"/>
    </row>
    <row r="52" spans="1:1" s="101" customFormat="1" x14ac:dyDescent="0.2">
      <c r="A52" s="95"/>
    </row>
    <row r="53" spans="1:1" s="101" customFormat="1" x14ac:dyDescent="0.2">
      <c r="A53" s="95"/>
    </row>
    <row r="54" spans="1:1" s="101" customFormat="1" x14ac:dyDescent="0.2">
      <c r="A54" s="95"/>
    </row>
    <row r="55" spans="1:1" s="101" customFormat="1" x14ac:dyDescent="0.2">
      <c r="A55" s="95"/>
    </row>
    <row r="56" spans="1:1" s="101" customFormat="1" x14ac:dyDescent="0.2">
      <c r="A56" s="95"/>
    </row>
    <row r="57" spans="1:1" s="101" customFormat="1" x14ac:dyDescent="0.2">
      <c r="A57" s="95"/>
    </row>
    <row r="58" spans="1:1" s="101" customFormat="1" x14ac:dyDescent="0.2">
      <c r="A58" s="95"/>
    </row>
    <row r="59" spans="1:1" s="101" customFormat="1" x14ac:dyDescent="0.2">
      <c r="A59" s="95"/>
    </row>
    <row r="60" spans="1:1" s="101" customFormat="1" x14ac:dyDescent="0.2">
      <c r="A60" s="95"/>
    </row>
    <row r="61" spans="1:1" s="101" customFormat="1" x14ac:dyDescent="0.2">
      <c r="A61" s="95"/>
    </row>
    <row r="62" spans="1:1" s="101" customFormat="1" x14ac:dyDescent="0.2">
      <c r="A62" s="95"/>
    </row>
    <row r="63" spans="1:1" s="101" customFormat="1" x14ac:dyDescent="0.2">
      <c r="A63" s="95"/>
    </row>
    <row r="64" spans="1:1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  <row r="219" spans="1:1" s="101" customFormat="1" x14ac:dyDescent="0.2">
      <c r="A219" s="95"/>
    </row>
    <row r="220" spans="1:1" s="101" customFormat="1" x14ac:dyDescent="0.2">
      <c r="A220" s="95"/>
    </row>
    <row r="221" spans="1:1" s="101" customFormat="1" x14ac:dyDescent="0.2">
      <c r="A221" s="95"/>
    </row>
    <row r="222" spans="1:1" s="101" customFormat="1" x14ac:dyDescent="0.2">
      <c r="A222" s="95"/>
    </row>
    <row r="223" spans="1:1" s="101" customFormat="1" x14ac:dyDescent="0.2">
      <c r="A223" s="95"/>
    </row>
    <row r="224" spans="1:1" s="101" customFormat="1" x14ac:dyDescent="0.2">
      <c r="A224" s="95"/>
    </row>
    <row r="225" spans="1:1" s="101" customFormat="1" x14ac:dyDescent="0.2">
      <c r="A225" s="95"/>
    </row>
    <row r="226" spans="1:1" s="101" customFormat="1" x14ac:dyDescent="0.2">
      <c r="A226" s="95"/>
    </row>
    <row r="227" spans="1:1" s="101" customFormat="1" x14ac:dyDescent="0.2">
      <c r="A227" s="95"/>
    </row>
    <row r="228" spans="1:1" s="101" customFormat="1" x14ac:dyDescent="0.2">
      <c r="A228" s="95"/>
    </row>
    <row r="229" spans="1:1" s="101" customFormat="1" x14ac:dyDescent="0.2">
      <c r="A229" s="95"/>
    </row>
    <row r="230" spans="1:1" s="101" customFormat="1" x14ac:dyDescent="0.2">
      <c r="A230" s="95"/>
    </row>
    <row r="231" spans="1:1" s="101" customFormat="1" x14ac:dyDescent="0.2">
      <c r="A231" s="95"/>
    </row>
    <row r="232" spans="1:1" s="101" customFormat="1" x14ac:dyDescent="0.2">
      <c r="A232" s="95"/>
    </row>
    <row r="233" spans="1:1" s="101" customFormat="1" x14ac:dyDescent="0.2">
      <c r="A233" s="95"/>
    </row>
    <row r="234" spans="1:1" s="101" customFormat="1" x14ac:dyDescent="0.2">
      <c r="A234" s="95"/>
    </row>
    <row r="235" spans="1:1" s="101" customFormat="1" x14ac:dyDescent="0.2">
      <c r="A235" s="95"/>
    </row>
    <row r="236" spans="1:1" s="101" customFormat="1" x14ac:dyDescent="0.2">
      <c r="A236" s="95"/>
    </row>
    <row r="237" spans="1:1" s="101" customFormat="1" x14ac:dyDescent="0.2">
      <c r="A237" s="95"/>
    </row>
    <row r="238" spans="1:1" s="101" customFormat="1" x14ac:dyDescent="0.2">
      <c r="A238" s="95"/>
    </row>
    <row r="239" spans="1:1" s="101" customFormat="1" x14ac:dyDescent="0.2">
      <c r="A239" s="95"/>
    </row>
    <row r="240" spans="1:1" s="101" customFormat="1" x14ac:dyDescent="0.2">
      <c r="A240" s="95"/>
    </row>
    <row r="241" spans="1:1" s="101" customFormat="1" x14ac:dyDescent="0.2">
      <c r="A241" s="95"/>
    </row>
    <row r="242" spans="1:1" s="101" customFormat="1" x14ac:dyDescent="0.2">
      <c r="A242" s="95"/>
    </row>
    <row r="243" spans="1:1" s="101" customFormat="1" x14ac:dyDescent="0.2">
      <c r="A243" s="95"/>
    </row>
    <row r="244" spans="1:1" s="101" customFormat="1" x14ac:dyDescent="0.2">
      <c r="A244" s="95"/>
    </row>
    <row r="245" spans="1:1" s="101" customFormat="1" x14ac:dyDescent="0.2">
      <c r="A245" s="95"/>
    </row>
    <row r="246" spans="1:1" s="101" customFormat="1" x14ac:dyDescent="0.2">
      <c r="A246" s="95"/>
    </row>
    <row r="247" spans="1:1" s="101" customFormat="1" x14ac:dyDescent="0.2">
      <c r="A247" s="95"/>
    </row>
    <row r="248" spans="1:1" s="101" customFormat="1" x14ac:dyDescent="0.2">
      <c r="A248" s="95"/>
    </row>
    <row r="249" spans="1:1" s="101" customFormat="1" x14ac:dyDescent="0.2">
      <c r="A249" s="95"/>
    </row>
    <row r="250" spans="1:1" s="101" customFormat="1" x14ac:dyDescent="0.2">
      <c r="A250" s="95"/>
    </row>
    <row r="251" spans="1:1" s="101" customFormat="1" x14ac:dyDescent="0.2">
      <c r="A251" s="95"/>
    </row>
    <row r="252" spans="1:1" s="101" customFormat="1" x14ac:dyDescent="0.2">
      <c r="A252" s="95"/>
    </row>
    <row r="253" spans="1:1" s="101" customFormat="1" x14ac:dyDescent="0.2">
      <c r="A253" s="95"/>
    </row>
    <row r="254" spans="1:1" s="101" customFormat="1" x14ac:dyDescent="0.2">
      <c r="A254" s="95"/>
    </row>
    <row r="255" spans="1:1" s="101" customFormat="1" x14ac:dyDescent="0.2">
      <c r="A255" s="95"/>
    </row>
    <row r="256" spans="1:1" s="101" customFormat="1" x14ac:dyDescent="0.2">
      <c r="A256" s="95"/>
    </row>
    <row r="257" spans="1:1" s="101" customFormat="1" x14ac:dyDescent="0.2">
      <c r="A257" s="95"/>
    </row>
    <row r="258" spans="1:1" s="101" customFormat="1" x14ac:dyDescent="0.2">
      <c r="A258" s="95"/>
    </row>
    <row r="259" spans="1:1" s="101" customFormat="1" x14ac:dyDescent="0.2">
      <c r="A259" s="95"/>
    </row>
    <row r="260" spans="1:1" s="101" customFormat="1" x14ac:dyDescent="0.2">
      <c r="A260" s="95"/>
    </row>
    <row r="261" spans="1:1" s="101" customFormat="1" x14ac:dyDescent="0.2">
      <c r="A261" s="95"/>
    </row>
    <row r="262" spans="1:1" s="101" customFormat="1" x14ac:dyDescent="0.2">
      <c r="A262" s="95"/>
    </row>
    <row r="263" spans="1:1" s="101" customFormat="1" x14ac:dyDescent="0.2">
      <c r="A263" s="95"/>
    </row>
    <row r="264" spans="1:1" s="101" customFormat="1" x14ac:dyDescent="0.2">
      <c r="A264" s="95"/>
    </row>
    <row r="265" spans="1:1" s="101" customFormat="1" x14ac:dyDescent="0.2">
      <c r="A265" s="95"/>
    </row>
    <row r="266" spans="1:1" s="101" customFormat="1" x14ac:dyDescent="0.2">
      <c r="A266" s="95"/>
    </row>
    <row r="267" spans="1:1" s="101" customFormat="1" x14ac:dyDescent="0.2">
      <c r="A267" s="95"/>
    </row>
    <row r="268" spans="1:1" s="101" customFormat="1" x14ac:dyDescent="0.2">
      <c r="A268" s="95"/>
    </row>
    <row r="269" spans="1:1" s="101" customFormat="1" x14ac:dyDescent="0.2">
      <c r="A269" s="95"/>
    </row>
    <row r="270" spans="1:1" s="101" customFormat="1" x14ac:dyDescent="0.2">
      <c r="A270" s="95"/>
    </row>
    <row r="271" spans="1:1" s="101" customFormat="1" x14ac:dyDescent="0.2">
      <c r="A271" s="95"/>
    </row>
    <row r="272" spans="1:1" s="101" customFormat="1" x14ac:dyDescent="0.2">
      <c r="A272" s="95"/>
    </row>
    <row r="273" spans="1:1" s="101" customFormat="1" x14ac:dyDescent="0.2">
      <c r="A273" s="95"/>
    </row>
    <row r="274" spans="1:1" s="101" customFormat="1" x14ac:dyDescent="0.2">
      <c r="A274" s="95"/>
    </row>
    <row r="275" spans="1:1" s="101" customFormat="1" x14ac:dyDescent="0.2">
      <c r="A275" s="95"/>
    </row>
    <row r="276" spans="1:1" s="101" customFormat="1" x14ac:dyDescent="0.2">
      <c r="A276" s="95"/>
    </row>
    <row r="277" spans="1:1" s="101" customFormat="1" x14ac:dyDescent="0.2">
      <c r="A277" s="95"/>
    </row>
    <row r="278" spans="1:1" s="101" customFormat="1" x14ac:dyDescent="0.2">
      <c r="A278" s="95"/>
    </row>
    <row r="279" spans="1:1" s="101" customFormat="1" x14ac:dyDescent="0.2">
      <c r="A279" s="95"/>
    </row>
    <row r="280" spans="1:1" s="101" customFormat="1" x14ac:dyDescent="0.2">
      <c r="A280" s="95"/>
    </row>
    <row r="281" spans="1:1" s="101" customFormat="1" x14ac:dyDescent="0.2">
      <c r="A281" s="95"/>
    </row>
    <row r="282" spans="1:1" s="101" customFormat="1" x14ac:dyDescent="0.2">
      <c r="A282" s="95"/>
    </row>
    <row r="283" spans="1:1" s="101" customFormat="1" x14ac:dyDescent="0.2">
      <c r="A283" s="95"/>
    </row>
    <row r="284" spans="1:1" s="101" customFormat="1" x14ac:dyDescent="0.2">
      <c r="A284" s="95"/>
    </row>
    <row r="285" spans="1:1" s="101" customFormat="1" x14ac:dyDescent="0.2">
      <c r="A285" s="95"/>
    </row>
    <row r="286" spans="1:1" s="101" customFormat="1" x14ac:dyDescent="0.2">
      <c r="A286" s="95"/>
    </row>
    <row r="287" spans="1:1" s="101" customFormat="1" x14ac:dyDescent="0.2">
      <c r="A287" s="95"/>
    </row>
    <row r="288" spans="1:1" s="101" customFormat="1" x14ac:dyDescent="0.2">
      <c r="A288" s="95"/>
    </row>
    <row r="289" spans="1:1" s="101" customFormat="1" x14ac:dyDescent="0.2">
      <c r="A289" s="95"/>
    </row>
    <row r="290" spans="1:1" s="101" customFormat="1" x14ac:dyDescent="0.2">
      <c r="A290" s="95"/>
    </row>
    <row r="291" spans="1:1" s="101" customFormat="1" x14ac:dyDescent="0.2">
      <c r="A291" s="95"/>
    </row>
    <row r="292" spans="1:1" s="101" customFormat="1" x14ac:dyDescent="0.2">
      <c r="A292" s="95"/>
    </row>
    <row r="293" spans="1:1" s="101" customFormat="1" x14ac:dyDescent="0.2">
      <c r="A293" s="95"/>
    </row>
    <row r="294" spans="1:1" s="101" customFormat="1" x14ac:dyDescent="0.2">
      <c r="A294" s="95"/>
    </row>
    <row r="295" spans="1:1" s="101" customFormat="1" x14ac:dyDescent="0.2">
      <c r="A295" s="95"/>
    </row>
    <row r="296" spans="1:1" s="101" customFormat="1" x14ac:dyDescent="0.2">
      <c r="A296" s="95"/>
    </row>
    <row r="297" spans="1:1" s="101" customFormat="1" x14ac:dyDescent="0.2">
      <c r="A297" s="95"/>
    </row>
    <row r="298" spans="1:1" s="101" customFormat="1" x14ac:dyDescent="0.2">
      <c r="A298" s="95"/>
    </row>
    <row r="299" spans="1:1" s="101" customFormat="1" x14ac:dyDescent="0.2">
      <c r="A299" s="95"/>
    </row>
    <row r="300" spans="1:1" s="101" customFormat="1" x14ac:dyDescent="0.2">
      <c r="A300" s="95"/>
    </row>
    <row r="301" spans="1:1" s="101" customFormat="1" x14ac:dyDescent="0.2">
      <c r="A301" s="95"/>
    </row>
    <row r="302" spans="1:1" s="101" customFormat="1" x14ac:dyDescent="0.2">
      <c r="A302" s="95"/>
    </row>
    <row r="303" spans="1:1" s="101" customFormat="1" x14ac:dyDescent="0.2">
      <c r="A303" s="95"/>
    </row>
    <row r="304" spans="1:1" s="101" customFormat="1" x14ac:dyDescent="0.2">
      <c r="A304" s="95"/>
    </row>
    <row r="305" spans="1:1" s="101" customFormat="1" x14ac:dyDescent="0.2">
      <c r="A305" s="95"/>
    </row>
    <row r="306" spans="1:1" s="101" customFormat="1" x14ac:dyDescent="0.2">
      <c r="A306" s="95"/>
    </row>
    <row r="307" spans="1:1" s="101" customFormat="1" x14ac:dyDescent="0.2">
      <c r="A307" s="95"/>
    </row>
    <row r="308" spans="1:1" s="101" customFormat="1" x14ac:dyDescent="0.2">
      <c r="A308" s="95"/>
    </row>
    <row r="309" spans="1:1" s="101" customFormat="1" x14ac:dyDescent="0.2">
      <c r="A309" s="95"/>
    </row>
    <row r="310" spans="1:1" s="101" customFormat="1" x14ac:dyDescent="0.2">
      <c r="A310" s="95"/>
    </row>
    <row r="311" spans="1:1" s="101" customFormat="1" x14ac:dyDescent="0.2">
      <c r="A311" s="95"/>
    </row>
    <row r="312" spans="1:1" s="101" customFormat="1" x14ac:dyDescent="0.2">
      <c r="A312" s="95"/>
    </row>
    <row r="313" spans="1:1" s="101" customFormat="1" x14ac:dyDescent="0.2">
      <c r="A313" s="95"/>
    </row>
    <row r="314" spans="1:1" s="101" customFormat="1" x14ac:dyDescent="0.2">
      <c r="A314" s="95"/>
    </row>
    <row r="315" spans="1:1" s="101" customFormat="1" x14ac:dyDescent="0.2">
      <c r="A315" s="95"/>
    </row>
    <row r="316" spans="1:1" s="101" customFormat="1" x14ac:dyDescent="0.2">
      <c r="A316" s="95"/>
    </row>
    <row r="317" spans="1:1" s="101" customFormat="1" x14ac:dyDescent="0.2">
      <c r="A317" s="95"/>
    </row>
    <row r="318" spans="1:1" s="101" customFormat="1" x14ac:dyDescent="0.2">
      <c r="A318" s="95"/>
    </row>
    <row r="319" spans="1:1" s="101" customFormat="1" x14ac:dyDescent="0.2">
      <c r="A319" s="95"/>
    </row>
    <row r="320" spans="1:1" s="101" customFormat="1" x14ac:dyDescent="0.2">
      <c r="A320" s="95"/>
    </row>
    <row r="321" spans="1:1" s="101" customFormat="1" x14ac:dyDescent="0.2">
      <c r="A321" s="95"/>
    </row>
    <row r="322" spans="1:1" s="101" customFormat="1" x14ac:dyDescent="0.2">
      <c r="A322" s="95"/>
    </row>
    <row r="323" spans="1:1" s="101" customFormat="1" x14ac:dyDescent="0.2">
      <c r="A323" s="95"/>
    </row>
    <row r="324" spans="1:1" s="101" customFormat="1" x14ac:dyDescent="0.2">
      <c r="A324" s="95"/>
    </row>
    <row r="325" spans="1:1" s="101" customFormat="1" x14ac:dyDescent="0.2">
      <c r="A325" s="95"/>
    </row>
    <row r="326" spans="1:1" s="101" customFormat="1" x14ac:dyDescent="0.2">
      <c r="A326" s="95"/>
    </row>
    <row r="327" spans="1:1" s="101" customFormat="1" x14ac:dyDescent="0.2">
      <c r="A327" s="95"/>
    </row>
    <row r="328" spans="1:1" s="101" customFormat="1" x14ac:dyDescent="0.2">
      <c r="A328" s="95"/>
    </row>
    <row r="329" spans="1:1" s="101" customFormat="1" x14ac:dyDescent="0.2">
      <c r="A329" s="95"/>
    </row>
    <row r="330" spans="1:1" s="101" customFormat="1" x14ac:dyDescent="0.2">
      <c r="A330" s="95"/>
    </row>
    <row r="331" spans="1:1" s="101" customFormat="1" x14ac:dyDescent="0.2">
      <c r="A331" s="95"/>
    </row>
    <row r="332" spans="1:1" s="101" customFormat="1" x14ac:dyDescent="0.2">
      <c r="A332" s="95"/>
    </row>
    <row r="333" spans="1:1" s="101" customFormat="1" x14ac:dyDescent="0.2">
      <c r="A333" s="95"/>
    </row>
    <row r="334" spans="1:1" s="101" customFormat="1" x14ac:dyDescent="0.2">
      <c r="A334" s="95"/>
    </row>
    <row r="335" spans="1:1" s="101" customFormat="1" x14ac:dyDescent="0.2">
      <c r="A335" s="95"/>
    </row>
    <row r="336" spans="1:1" s="101" customFormat="1" x14ac:dyDescent="0.2">
      <c r="A336" s="95"/>
    </row>
    <row r="337" spans="1:1" s="101" customFormat="1" x14ac:dyDescent="0.2">
      <c r="A337" s="95"/>
    </row>
    <row r="338" spans="1:1" s="101" customFormat="1" x14ac:dyDescent="0.2">
      <c r="A338" s="95"/>
    </row>
    <row r="339" spans="1:1" s="101" customFormat="1" x14ac:dyDescent="0.2">
      <c r="A339" s="95"/>
    </row>
    <row r="340" spans="1:1" s="101" customFormat="1" x14ac:dyDescent="0.2">
      <c r="A340" s="95"/>
    </row>
    <row r="341" spans="1:1" s="101" customFormat="1" x14ac:dyDescent="0.2">
      <c r="A341" s="95"/>
    </row>
    <row r="342" spans="1:1" s="101" customFormat="1" x14ac:dyDescent="0.2">
      <c r="A342" s="95"/>
    </row>
    <row r="343" spans="1:1" s="101" customFormat="1" x14ac:dyDescent="0.2">
      <c r="A343" s="95"/>
    </row>
    <row r="344" spans="1:1" s="101" customFormat="1" x14ac:dyDescent="0.2">
      <c r="A344" s="95"/>
    </row>
    <row r="345" spans="1:1" s="101" customFormat="1" x14ac:dyDescent="0.2">
      <c r="A345" s="95"/>
    </row>
    <row r="346" spans="1:1" s="101" customFormat="1" x14ac:dyDescent="0.2">
      <c r="A346" s="95"/>
    </row>
    <row r="347" spans="1:1" s="101" customFormat="1" x14ac:dyDescent="0.2">
      <c r="A347" s="95"/>
    </row>
    <row r="348" spans="1:1" s="101" customFormat="1" x14ac:dyDescent="0.2">
      <c r="A348" s="95"/>
    </row>
    <row r="349" spans="1:1" s="101" customFormat="1" x14ac:dyDescent="0.2">
      <c r="A349" s="95"/>
    </row>
    <row r="350" spans="1:1" s="101" customFormat="1" x14ac:dyDescent="0.2">
      <c r="A350" s="95"/>
    </row>
    <row r="351" spans="1:1" s="101" customFormat="1" x14ac:dyDescent="0.2">
      <c r="A351" s="95"/>
    </row>
    <row r="352" spans="1:1" s="101" customFormat="1" x14ac:dyDescent="0.2">
      <c r="A352" s="95"/>
    </row>
    <row r="353" spans="1:1" s="101" customFormat="1" x14ac:dyDescent="0.2">
      <c r="A353" s="95"/>
    </row>
    <row r="354" spans="1:1" s="101" customFormat="1" x14ac:dyDescent="0.2">
      <c r="A354" s="95"/>
    </row>
    <row r="355" spans="1:1" s="101" customFormat="1" x14ac:dyDescent="0.2">
      <c r="A355" s="95"/>
    </row>
    <row r="356" spans="1:1" s="101" customFormat="1" x14ac:dyDescent="0.2">
      <c r="A356" s="95"/>
    </row>
    <row r="357" spans="1:1" s="101" customFormat="1" x14ac:dyDescent="0.2">
      <c r="A357" s="95"/>
    </row>
    <row r="358" spans="1:1" s="101" customFormat="1" x14ac:dyDescent="0.2">
      <c r="A358" s="95"/>
    </row>
    <row r="359" spans="1:1" s="101" customFormat="1" x14ac:dyDescent="0.2">
      <c r="A359" s="95"/>
    </row>
    <row r="360" spans="1:1" s="101" customFormat="1" x14ac:dyDescent="0.2">
      <c r="A360" s="95"/>
    </row>
    <row r="361" spans="1:1" s="101" customFormat="1" x14ac:dyDescent="0.2">
      <c r="A361" s="95"/>
    </row>
    <row r="362" spans="1:1" s="101" customFormat="1" x14ac:dyDescent="0.2">
      <c r="A362" s="95"/>
    </row>
    <row r="363" spans="1:1" s="101" customFormat="1" x14ac:dyDescent="0.2">
      <c r="A363" s="95"/>
    </row>
    <row r="364" spans="1:1" s="101" customFormat="1" x14ac:dyDescent="0.2">
      <c r="A364" s="95"/>
    </row>
    <row r="365" spans="1:1" s="101" customFormat="1" x14ac:dyDescent="0.2">
      <c r="A365" s="95"/>
    </row>
    <row r="366" spans="1:1" s="101" customFormat="1" x14ac:dyDescent="0.2">
      <c r="A366" s="95"/>
    </row>
    <row r="367" spans="1:1" s="101" customFormat="1" x14ac:dyDescent="0.2">
      <c r="A367" s="95"/>
    </row>
    <row r="368" spans="1:1" s="101" customFormat="1" x14ac:dyDescent="0.2">
      <c r="A368" s="95"/>
    </row>
    <row r="369" spans="1:1" s="101" customFormat="1" x14ac:dyDescent="0.2">
      <c r="A369" s="95"/>
    </row>
    <row r="370" spans="1:1" s="101" customFormat="1" x14ac:dyDescent="0.2">
      <c r="A370" s="95"/>
    </row>
    <row r="371" spans="1:1" s="101" customFormat="1" x14ac:dyDescent="0.2">
      <c r="A371" s="95"/>
    </row>
    <row r="372" spans="1:1" s="101" customFormat="1" x14ac:dyDescent="0.2">
      <c r="A372" s="95"/>
    </row>
    <row r="373" spans="1:1" s="101" customFormat="1" x14ac:dyDescent="0.2">
      <c r="A373" s="95"/>
    </row>
    <row r="374" spans="1:1" s="101" customFormat="1" x14ac:dyDescent="0.2">
      <c r="A374" s="95"/>
    </row>
    <row r="375" spans="1:1" s="101" customFormat="1" x14ac:dyDescent="0.2">
      <c r="A375" s="95"/>
    </row>
    <row r="376" spans="1:1" s="101" customFormat="1" x14ac:dyDescent="0.2">
      <c r="A376" s="95"/>
    </row>
    <row r="377" spans="1:1" s="101" customFormat="1" x14ac:dyDescent="0.2">
      <c r="A377" s="95"/>
    </row>
    <row r="378" spans="1:1" s="101" customFormat="1" x14ac:dyDescent="0.2">
      <c r="A378" s="95"/>
    </row>
    <row r="379" spans="1:1" s="101" customFormat="1" x14ac:dyDescent="0.2">
      <c r="A379" s="95"/>
    </row>
    <row r="380" spans="1:1" s="101" customFormat="1" x14ac:dyDescent="0.2">
      <c r="A380" s="95"/>
    </row>
    <row r="381" spans="1:1" s="101" customFormat="1" x14ac:dyDescent="0.2">
      <c r="A381" s="95"/>
    </row>
    <row r="382" spans="1:1" s="101" customFormat="1" x14ac:dyDescent="0.2">
      <c r="A382" s="95"/>
    </row>
    <row r="383" spans="1:1" s="101" customFormat="1" x14ac:dyDescent="0.2">
      <c r="A383" s="95"/>
    </row>
    <row r="384" spans="1:1" s="101" customFormat="1" x14ac:dyDescent="0.2">
      <c r="A384" s="95"/>
    </row>
    <row r="385" spans="1:1" s="101" customFormat="1" x14ac:dyDescent="0.2">
      <c r="A385" s="95"/>
    </row>
    <row r="386" spans="1:1" s="101" customFormat="1" x14ac:dyDescent="0.2">
      <c r="A386" s="95"/>
    </row>
    <row r="387" spans="1:1" s="101" customFormat="1" x14ac:dyDescent="0.2">
      <c r="A387" s="95"/>
    </row>
    <row r="388" spans="1:1" s="101" customFormat="1" x14ac:dyDescent="0.2">
      <c r="A388" s="95"/>
    </row>
    <row r="389" spans="1:1" s="101" customFormat="1" x14ac:dyDescent="0.2">
      <c r="A389" s="95"/>
    </row>
    <row r="390" spans="1:1" s="101" customFormat="1" x14ac:dyDescent="0.2">
      <c r="A390" s="95"/>
    </row>
    <row r="391" spans="1:1" s="101" customFormat="1" x14ac:dyDescent="0.2">
      <c r="A391" s="95"/>
    </row>
    <row r="392" spans="1:1" s="101" customFormat="1" x14ac:dyDescent="0.2">
      <c r="A392" s="95"/>
    </row>
    <row r="393" spans="1:1" s="101" customFormat="1" x14ac:dyDescent="0.2">
      <c r="A393" s="95"/>
    </row>
    <row r="394" spans="1:1" s="101" customFormat="1" x14ac:dyDescent="0.2">
      <c r="A394" s="95"/>
    </row>
    <row r="395" spans="1:1" s="101" customFormat="1" x14ac:dyDescent="0.2">
      <c r="A395" s="95"/>
    </row>
    <row r="396" spans="1:1" s="101" customFormat="1" x14ac:dyDescent="0.2">
      <c r="A396" s="95"/>
    </row>
    <row r="397" spans="1:1" s="101" customFormat="1" x14ac:dyDescent="0.2">
      <c r="A397" s="95"/>
    </row>
    <row r="398" spans="1:1" s="101" customFormat="1" x14ac:dyDescent="0.2">
      <c r="A398" s="95"/>
    </row>
    <row r="399" spans="1:1" s="101" customFormat="1" x14ac:dyDescent="0.2">
      <c r="A399" s="95"/>
    </row>
    <row r="400" spans="1:1" s="101" customFormat="1" x14ac:dyDescent="0.2">
      <c r="A400" s="95"/>
    </row>
    <row r="401" spans="1:1" s="101" customFormat="1" x14ac:dyDescent="0.2">
      <c r="A401" s="95"/>
    </row>
    <row r="402" spans="1:1" s="101" customFormat="1" x14ac:dyDescent="0.2">
      <c r="A402" s="95"/>
    </row>
    <row r="403" spans="1:1" s="101" customFormat="1" x14ac:dyDescent="0.2">
      <c r="A403" s="95"/>
    </row>
    <row r="404" spans="1:1" s="101" customFormat="1" x14ac:dyDescent="0.2">
      <c r="A404" s="95"/>
    </row>
    <row r="405" spans="1:1" s="101" customFormat="1" x14ac:dyDescent="0.2">
      <c r="A405" s="95"/>
    </row>
    <row r="406" spans="1:1" s="101" customFormat="1" x14ac:dyDescent="0.2">
      <c r="A406" s="95"/>
    </row>
    <row r="407" spans="1:1" s="101" customFormat="1" x14ac:dyDescent="0.2">
      <c r="A407" s="95"/>
    </row>
    <row r="408" spans="1:1" s="101" customFormat="1" x14ac:dyDescent="0.2">
      <c r="A408" s="95"/>
    </row>
    <row r="409" spans="1:1" s="101" customFormat="1" x14ac:dyDescent="0.2">
      <c r="A409" s="95"/>
    </row>
    <row r="410" spans="1:1" s="101" customFormat="1" x14ac:dyDescent="0.2">
      <c r="A410" s="95"/>
    </row>
    <row r="411" spans="1:1" s="101" customFormat="1" x14ac:dyDescent="0.2">
      <c r="A411" s="95"/>
    </row>
    <row r="412" spans="1:1" s="101" customFormat="1" x14ac:dyDescent="0.2">
      <c r="A412" s="95"/>
    </row>
    <row r="413" spans="1:1" s="101" customFormat="1" x14ac:dyDescent="0.2">
      <c r="A413" s="95"/>
    </row>
    <row r="414" spans="1:1" s="101" customFormat="1" x14ac:dyDescent="0.2">
      <c r="A414" s="95"/>
    </row>
    <row r="415" spans="1:1" s="101" customFormat="1" x14ac:dyDescent="0.2">
      <c r="A415" s="95"/>
    </row>
    <row r="416" spans="1:1" s="101" customFormat="1" x14ac:dyDescent="0.2">
      <c r="A416" s="95"/>
    </row>
    <row r="417" spans="1:1" s="101" customFormat="1" x14ac:dyDescent="0.2">
      <c r="A417" s="95"/>
    </row>
    <row r="418" spans="1:1" s="101" customFormat="1" x14ac:dyDescent="0.2">
      <c r="A418" s="95"/>
    </row>
    <row r="419" spans="1:1" s="101" customFormat="1" x14ac:dyDescent="0.2">
      <c r="A419" s="95"/>
    </row>
    <row r="420" spans="1:1" s="101" customFormat="1" x14ac:dyDescent="0.2">
      <c r="A420" s="95"/>
    </row>
    <row r="421" spans="1:1" s="101" customFormat="1" x14ac:dyDescent="0.2">
      <c r="A421" s="95"/>
    </row>
    <row r="422" spans="1:1" s="101" customFormat="1" x14ac:dyDescent="0.2">
      <c r="A422" s="95"/>
    </row>
    <row r="423" spans="1:1" s="101" customFormat="1" x14ac:dyDescent="0.2">
      <c r="A423" s="95"/>
    </row>
    <row r="424" spans="1:1" s="101" customFormat="1" x14ac:dyDescent="0.2">
      <c r="A424" s="95"/>
    </row>
    <row r="425" spans="1:1" s="101" customFormat="1" x14ac:dyDescent="0.2">
      <c r="A425" s="95"/>
    </row>
    <row r="426" spans="1:1" s="101" customFormat="1" x14ac:dyDescent="0.2">
      <c r="A426" s="95"/>
    </row>
    <row r="427" spans="1:1" s="101" customFormat="1" x14ac:dyDescent="0.2">
      <c r="A427" s="95"/>
    </row>
    <row r="428" spans="1:1" s="101" customFormat="1" x14ac:dyDescent="0.2">
      <c r="A428" s="95"/>
    </row>
    <row r="429" spans="1:1" s="101" customFormat="1" x14ac:dyDescent="0.2">
      <c r="A429" s="95"/>
    </row>
    <row r="430" spans="1:1" s="101" customFormat="1" x14ac:dyDescent="0.2">
      <c r="A430" s="95"/>
    </row>
    <row r="431" spans="1:1" s="101" customFormat="1" x14ac:dyDescent="0.2">
      <c r="A431" s="95"/>
    </row>
    <row r="432" spans="1:1" s="101" customFormat="1" x14ac:dyDescent="0.2">
      <c r="A432" s="95"/>
    </row>
    <row r="433" spans="1:1" s="101" customFormat="1" x14ac:dyDescent="0.2">
      <c r="A433" s="95"/>
    </row>
    <row r="434" spans="1:1" s="101" customFormat="1" x14ac:dyDescent="0.2">
      <c r="A434" s="95"/>
    </row>
    <row r="435" spans="1:1" s="101" customFormat="1" x14ac:dyDescent="0.2">
      <c r="A435" s="95"/>
    </row>
    <row r="436" spans="1:1" s="101" customFormat="1" x14ac:dyDescent="0.2">
      <c r="A436" s="95"/>
    </row>
    <row r="437" spans="1:1" s="101" customFormat="1" x14ac:dyDescent="0.2">
      <c r="A437" s="95"/>
    </row>
    <row r="438" spans="1:1" s="101" customFormat="1" x14ac:dyDescent="0.2">
      <c r="A438" s="95"/>
    </row>
    <row r="439" spans="1:1" s="101" customFormat="1" x14ac:dyDescent="0.2">
      <c r="A439" s="95"/>
    </row>
    <row r="440" spans="1:1" s="101" customFormat="1" x14ac:dyDescent="0.2">
      <c r="A440" s="95"/>
    </row>
    <row r="441" spans="1:1" s="101" customFormat="1" x14ac:dyDescent="0.2">
      <c r="A441" s="95"/>
    </row>
    <row r="442" spans="1:1" s="101" customFormat="1" x14ac:dyDescent="0.2">
      <c r="A442" s="95"/>
    </row>
    <row r="443" spans="1:1" s="101" customFormat="1" x14ac:dyDescent="0.2">
      <c r="A443" s="95"/>
    </row>
    <row r="444" spans="1:1" s="101" customFormat="1" x14ac:dyDescent="0.2">
      <c r="A444" s="95"/>
    </row>
    <row r="445" spans="1:1" s="101" customFormat="1" x14ac:dyDescent="0.2">
      <c r="A445" s="95"/>
    </row>
    <row r="446" spans="1:1" s="101" customFormat="1" x14ac:dyDescent="0.2">
      <c r="A446" s="95"/>
    </row>
    <row r="447" spans="1:1" s="101" customFormat="1" x14ac:dyDescent="0.2">
      <c r="A447" s="95"/>
    </row>
  </sheetData>
  <sheetProtection sheet="1" objects="1" scenarios="1"/>
  <mergeCells count="417">
    <mergeCell ref="D40:E40"/>
    <mergeCell ref="D42:E42"/>
    <mergeCell ref="L33:M33"/>
    <mergeCell ref="J33:K33"/>
    <mergeCell ref="F6:G6"/>
    <mergeCell ref="D6:E6"/>
    <mergeCell ref="B6:C6"/>
    <mergeCell ref="D5:E5"/>
    <mergeCell ref="B5:C5"/>
    <mergeCell ref="F5:G5"/>
    <mergeCell ref="L35:M35"/>
    <mergeCell ref="D23:E23"/>
    <mergeCell ref="D24:E24"/>
    <mergeCell ref="D25:E25"/>
    <mergeCell ref="D26:E26"/>
    <mergeCell ref="D33:E33"/>
    <mergeCell ref="D13:E13"/>
    <mergeCell ref="J30:K30"/>
    <mergeCell ref="J28:K28"/>
    <mergeCell ref="H28:I28"/>
    <mergeCell ref="F28:G28"/>
    <mergeCell ref="F29:G29"/>
    <mergeCell ref="H29:I29"/>
    <mergeCell ref="J35:K35"/>
    <mergeCell ref="A47:Z47"/>
    <mergeCell ref="B25:C25"/>
    <mergeCell ref="B15:C15"/>
    <mergeCell ref="B17:C17"/>
    <mergeCell ref="B18:C18"/>
    <mergeCell ref="B19:C19"/>
    <mergeCell ref="B20:C20"/>
    <mergeCell ref="D36:E36"/>
    <mergeCell ref="D37:E37"/>
    <mergeCell ref="D38:E38"/>
    <mergeCell ref="D30:E30"/>
    <mergeCell ref="D31:E31"/>
    <mergeCell ref="D34:E34"/>
    <mergeCell ref="D27:E27"/>
    <mergeCell ref="D28:E28"/>
    <mergeCell ref="D29:E29"/>
    <mergeCell ref="D20:E20"/>
    <mergeCell ref="D35:E35"/>
    <mergeCell ref="L34:M34"/>
    <mergeCell ref="F34:G34"/>
    <mergeCell ref="F35:G35"/>
    <mergeCell ref="F36:G36"/>
    <mergeCell ref="H35:I35"/>
    <mergeCell ref="H36:I36"/>
    <mergeCell ref="P5:Q5"/>
    <mergeCell ref="N5:O5"/>
    <mergeCell ref="T5:U5"/>
    <mergeCell ref="X5:Y5"/>
    <mergeCell ref="H5:I5"/>
    <mergeCell ref="T6:U6"/>
    <mergeCell ref="V5:W5"/>
    <mergeCell ref="V6:W6"/>
    <mergeCell ref="X6:Y6"/>
    <mergeCell ref="R5:S5"/>
    <mergeCell ref="N6:O6"/>
    <mergeCell ref="P6:Q6"/>
    <mergeCell ref="R6:S6"/>
    <mergeCell ref="L5:M5"/>
    <mergeCell ref="L6:M6"/>
    <mergeCell ref="J5:K5"/>
    <mergeCell ref="J6:K6"/>
    <mergeCell ref="H6:I6"/>
    <mergeCell ref="N4:Y4"/>
    <mergeCell ref="B4:M4"/>
    <mergeCell ref="B9:C9"/>
    <mergeCell ref="B11:C11"/>
    <mergeCell ref="B12:C12"/>
    <mergeCell ref="B35:C35"/>
    <mergeCell ref="B36:C36"/>
    <mergeCell ref="B26:C26"/>
    <mergeCell ref="B27:C27"/>
    <mergeCell ref="B28:C28"/>
    <mergeCell ref="B29:C29"/>
    <mergeCell ref="B30:C30"/>
    <mergeCell ref="B23:C23"/>
    <mergeCell ref="B24:C24"/>
    <mergeCell ref="B14:C14"/>
    <mergeCell ref="B33:C33"/>
    <mergeCell ref="B10:C10"/>
    <mergeCell ref="B13:C13"/>
    <mergeCell ref="B31:C31"/>
    <mergeCell ref="B21:C21"/>
    <mergeCell ref="B22:C22"/>
    <mergeCell ref="B34:C34"/>
    <mergeCell ref="D12:E12"/>
    <mergeCell ref="D14:E14"/>
    <mergeCell ref="J36:K36"/>
    <mergeCell ref="D15:E15"/>
    <mergeCell ref="D17:E17"/>
    <mergeCell ref="D18:E18"/>
    <mergeCell ref="D19:E19"/>
    <mergeCell ref="D21:E21"/>
    <mergeCell ref="D22:E22"/>
    <mergeCell ref="L36:M36"/>
    <mergeCell ref="N29:O29"/>
    <mergeCell ref="H33:I33"/>
    <mergeCell ref="F33:G33"/>
    <mergeCell ref="J34:K34"/>
    <mergeCell ref="H34:I34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H15:I15"/>
    <mergeCell ref="J15:K15"/>
    <mergeCell ref="J18:K18"/>
    <mergeCell ref="L18:M18"/>
    <mergeCell ref="J21:K21"/>
    <mergeCell ref="J20:K20"/>
    <mergeCell ref="L20:M20"/>
    <mergeCell ref="L21:M21"/>
    <mergeCell ref="F20:G20"/>
    <mergeCell ref="H20:I20"/>
    <mergeCell ref="T12:U12"/>
    <mergeCell ref="R12:S12"/>
    <mergeCell ref="J19:K19"/>
    <mergeCell ref="H19:I19"/>
    <mergeCell ref="F19:G19"/>
    <mergeCell ref="L12:M12"/>
    <mergeCell ref="J12:K12"/>
    <mergeCell ref="H12:I12"/>
    <mergeCell ref="F12:G12"/>
    <mergeCell ref="F13:G13"/>
    <mergeCell ref="H13:I13"/>
    <mergeCell ref="J13:K13"/>
    <mergeCell ref="L13:M13"/>
    <mergeCell ref="L14:M14"/>
    <mergeCell ref="J14:K14"/>
    <mergeCell ref="H14:I14"/>
    <mergeCell ref="F14:G14"/>
    <mergeCell ref="L17:M17"/>
    <mergeCell ref="J17:K17"/>
    <mergeCell ref="H17:I17"/>
    <mergeCell ref="F17:G17"/>
    <mergeCell ref="F18:G18"/>
    <mergeCell ref="H18:I18"/>
    <mergeCell ref="F15:G15"/>
    <mergeCell ref="F31:G31"/>
    <mergeCell ref="H31:I31"/>
    <mergeCell ref="J31:K31"/>
    <mergeCell ref="L31:M31"/>
    <mergeCell ref="J29:K29"/>
    <mergeCell ref="L29:M29"/>
    <mergeCell ref="L30:M30"/>
    <mergeCell ref="T19:U19"/>
    <mergeCell ref="V19:W19"/>
    <mergeCell ref="N31:O31"/>
    <mergeCell ref="J26:K26"/>
    <mergeCell ref="H26:I26"/>
    <mergeCell ref="F26:G26"/>
    <mergeCell ref="F27:G27"/>
    <mergeCell ref="H27:I27"/>
    <mergeCell ref="J27:K27"/>
    <mergeCell ref="L27:M27"/>
    <mergeCell ref="H30:I30"/>
    <mergeCell ref="F30:G30"/>
    <mergeCell ref="F25:G25"/>
    <mergeCell ref="H25:I25"/>
    <mergeCell ref="J25:K25"/>
    <mergeCell ref="L22:M22"/>
    <mergeCell ref="L23:M23"/>
    <mergeCell ref="N33:O33"/>
    <mergeCell ref="L19:M19"/>
    <mergeCell ref="N30:O30"/>
    <mergeCell ref="P18:Q18"/>
    <mergeCell ref="V22:W22"/>
    <mergeCell ref="T22:U22"/>
    <mergeCell ref="L28:M28"/>
    <mergeCell ref="N28:O28"/>
    <mergeCell ref="N24:O24"/>
    <mergeCell ref="N25:O25"/>
    <mergeCell ref="L24:M24"/>
    <mergeCell ref="P27:Q27"/>
    <mergeCell ref="N22:O22"/>
    <mergeCell ref="N23:O23"/>
    <mergeCell ref="N34:O34"/>
    <mergeCell ref="P11:Q11"/>
    <mergeCell ref="R11:S11"/>
    <mergeCell ref="P13:Q13"/>
    <mergeCell ref="R13:S13"/>
    <mergeCell ref="R14:S14"/>
    <mergeCell ref="P14:Q14"/>
    <mergeCell ref="P15:Q15"/>
    <mergeCell ref="R15:S15"/>
    <mergeCell ref="R22:S22"/>
    <mergeCell ref="P12:Q12"/>
    <mergeCell ref="P34:Q34"/>
    <mergeCell ref="R34:S34"/>
    <mergeCell ref="R33:S33"/>
    <mergeCell ref="P33:Q33"/>
    <mergeCell ref="P30:Q30"/>
    <mergeCell ref="R30:S30"/>
    <mergeCell ref="R31:S31"/>
    <mergeCell ref="P22:Q22"/>
    <mergeCell ref="P19:Q19"/>
    <mergeCell ref="R19:S19"/>
    <mergeCell ref="N20:O20"/>
    <mergeCell ref="R18:S18"/>
    <mergeCell ref="R21:S21"/>
    <mergeCell ref="T26:U26"/>
    <mergeCell ref="V14:W14"/>
    <mergeCell ref="T14:U14"/>
    <mergeCell ref="T24:U24"/>
    <mergeCell ref="T25:U25"/>
    <mergeCell ref="T23:U23"/>
    <mergeCell ref="X13:Y13"/>
    <mergeCell ref="X21:Y21"/>
    <mergeCell ref="X22:Y22"/>
    <mergeCell ref="X15:Y15"/>
    <mergeCell ref="X17:Y17"/>
    <mergeCell ref="X20:Y20"/>
    <mergeCell ref="V20:W20"/>
    <mergeCell ref="T20:U20"/>
    <mergeCell ref="T18:U18"/>
    <mergeCell ref="T21:U21"/>
    <mergeCell ref="V21:W21"/>
    <mergeCell ref="N35:O35"/>
    <mergeCell ref="N26:O26"/>
    <mergeCell ref="N27:O27"/>
    <mergeCell ref="P23:Q23"/>
    <mergeCell ref="R23:S23"/>
    <mergeCell ref="N21:O21"/>
    <mergeCell ref="N12:O12"/>
    <mergeCell ref="N13:O13"/>
    <mergeCell ref="R20:S20"/>
    <mergeCell ref="P20:Q20"/>
    <mergeCell ref="P21:Q21"/>
    <mergeCell ref="R26:S26"/>
    <mergeCell ref="P26:Q26"/>
    <mergeCell ref="P28:Q28"/>
    <mergeCell ref="R24:S24"/>
    <mergeCell ref="R25:S25"/>
    <mergeCell ref="P24:Q24"/>
    <mergeCell ref="P25:Q25"/>
    <mergeCell ref="P29:Q29"/>
    <mergeCell ref="R28:S28"/>
    <mergeCell ref="R29:S29"/>
    <mergeCell ref="R35:S35"/>
    <mergeCell ref="P35:Q35"/>
    <mergeCell ref="P31:Q31"/>
    <mergeCell ref="R17:S17"/>
    <mergeCell ref="P17:Q17"/>
    <mergeCell ref="J11:K11"/>
    <mergeCell ref="L11:M11"/>
    <mergeCell ref="N11:O11"/>
    <mergeCell ref="T11:U11"/>
    <mergeCell ref="V11:W11"/>
    <mergeCell ref="L25:M25"/>
    <mergeCell ref="R27:S27"/>
    <mergeCell ref="L16:M16"/>
    <mergeCell ref="T16:U16"/>
    <mergeCell ref="T15:U15"/>
    <mergeCell ref="V15:W15"/>
    <mergeCell ref="L26:M26"/>
    <mergeCell ref="L15:M15"/>
    <mergeCell ref="N14:O14"/>
    <mergeCell ref="N15:O15"/>
    <mergeCell ref="N17:O17"/>
    <mergeCell ref="N18:O18"/>
    <mergeCell ref="N19:O19"/>
    <mergeCell ref="V16:W16"/>
    <mergeCell ref="V17:W17"/>
    <mergeCell ref="T17:U17"/>
    <mergeCell ref="T13:U13"/>
    <mergeCell ref="F9:G9"/>
    <mergeCell ref="H9:I9"/>
    <mergeCell ref="J9:K9"/>
    <mergeCell ref="L9:M9"/>
    <mergeCell ref="L10:M10"/>
    <mergeCell ref="H11:I11"/>
    <mergeCell ref="D9:E9"/>
    <mergeCell ref="D11:E11"/>
    <mergeCell ref="J10:K10"/>
    <mergeCell ref="H10:I10"/>
    <mergeCell ref="F10:G10"/>
    <mergeCell ref="D10:E10"/>
    <mergeCell ref="F11:G11"/>
    <mergeCell ref="T9:U9"/>
    <mergeCell ref="V9:W9"/>
    <mergeCell ref="R9:S9"/>
    <mergeCell ref="P9:Q9"/>
    <mergeCell ref="N9:O9"/>
    <mergeCell ref="R10:S10"/>
    <mergeCell ref="X10:Y10"/>
    <mergeCell ref="V10:W10"/>
    <mergeCell ref="T10:U10"/>
    <mergeCell ref="N10:O10"/>
    <mergeCell ref="P10:Q10"/>
    <mergeCell ref="X11:Y11"/>
    <mergeCell ref="X9:Y9"/>
    <mergeCell ref="X23:Y23"/>
    <mergeCell ref="X24:Y24"/>
    <mergeCell ref="X25:Y25"/>
    <mergeCell ref="V24:W24"/>
    <mergeCell ref="V25:W25"/>
    <mergeCell ref="V31:W31"/>
    <mergeCell ref="X30:Y30"/>
    <mergeCell ref="X31:Y31"/>
    <mergeCell ref="X29:Y29"/>
    <mergeCell ref="X28:Y28"/>
    <mergeCell ref="X26:Y26"/>
    <mergeCell ref="V26:W26"/>
    <mergeCell ref="V23:W23"/>
    <mergeCell ref="X12:Y12"/>
    <mergeCell ref="V18:W18"/>
    <mergeCell ref="X18:Y18"/>
    <mergeCell ref="X19:Y19"/>
    <mergeCell ref="X14:Y14"/>
    <mergeCell ref="V13:W13"/>
    <mergeCell ref="V12:W12"/>
    <mergeCell ref="X35:Y35"/>
    <mergeCell ref="V35:W35"/>
    <mergeCell ref="T35:U35"/>
    <mergeCell ref="X34:Y34"/>
    <mergeCell ref="X33:Y33"/>
    <mergeCell ref="V33:W33"/>
    <mergeCell ref="T33:U33"/>
    <mergeCell ref="X27:Y27"/>
    <mergeCell ref="V27:W27"/>
    <mergeCell ref="V28:W28"/>
    <mergeCell ref="V29:W29"/>
    <mergeCell ref="T27:U27"/>
    <mergeCell ref="T28:U28"/>
    <mergeCell ref="T29:U29"/>
    <mergeCell ref="T34:U34"/>
    <mergeCell ref="T30:U30"/>
    <mergeCell ref="T31:U31"/>
    <mergeCell ref="V30:W30"/>
    <mergeCell ref="V34:W34"/>
    <mergeCell ref="X42:Y42"/>
    <mergeCell ref="V42:W42"/>
    <mergeCell ref="P41:Q41"/>
    <mergeCell ref="R40:S40"/>
    <mergeCell ref="R41:S41"/>
    <mergeCell ref="T40:U40"/>
    <mergeCell ref="T41:U41"/>
    <mergeCell ref="T42:U42"/>
    <mergeCell ref="R42:S42"/>
    <mergeCell ref="V40:W40"/>
    <mergeCell ref="V41:W41"/>
    <mergeCell ref="X40:Y40"/>
    <mergeCell ref="X41:Y41"/>
    <mergeCell ref="J38:K38"/>
    <mergeCell ref="J40:K40"/>
    <mergeCell ref="B37:C37"/>
    <mergeCell ref="B38:C38"/>
    <mergeCell ref="B40:C40"/>
    <mergeCell ref="B41:C41"/>
    <mergeCell ref="D41:E41"/>
    <mergeCell ref="N40:O40"/>
    <mergeCell ref="J41:K41"/>
    <mergeCell ref="F37:G37"/>
    <mergeCell ref="F38:G38"/>
    <mergeCell ref="H37:I37"/>
    <mergeCell ref="H38:I38"/>
    <mergeCell ref="L37:M37"/>
    <mergeCell ref="L38:M38"/>
    <mergeCell ref="H39:I39"/>
    <mergeCell ref="L40:M40"/>
    <mergeCell ref="L39:M39"/>
    <mergeCell ref="J39:K39"/>
    <mergeCell ref="F39:G39"/>
    <mergeCell ref="F40:G40"/>
    <mergeCell ref="H40:I40"/>
    <mergeCell ref="N39:O39"/>
    <mergeCell ref="D39:E39"/>
    <mergeCell ref="X36:Y36"/>
    <mergeCell ref="R36:S36"/>
    <mergeCell ref="R37:S37"/>
    <mergeCell ref="R38:S38"/>
    <mergeCell ref="R39:S39"/>
    <mergeCell ref="T39:U39"/>
    <mergeCell ref="T38:U38"/>
    <mergeCell ref="T37:U37"/>
    <mergeCell ref="T36:U36"/>
    <mergeCell ref="V36:W36"/>
    <mergeCell ref="V37:W37"/>
    <mergeCell ref="V38:W38"/>
    <mergeCell ref="V39:W39"/>
    <mergeCell ref="X39:Y39"/>
    <mergeCell ref="X38:Y38"/>
    <mergeCell ref="X37:Y37"/>
    <mergeCell ref="L42:M42"/>
    <mergeCell ref="H42:I42"/>
    <mergeCell ref="F42:G42"/>
    <mergeCell ref="D16:E16"/>
    <mergeCell ref="F16:G16"/>
    <mergeCell ref="H16:I16"/>
    <mergeCell ref="C46:E46"/>
    <mergeCell ref="P16:Q16"/>
    <mergeCell ref="R16:S16"/>
    <mergeCell ref="P36:Q36"/>
    <mergeCell ref="P37:Q37"/>
    <mergeCell ref="P38:Q38"/>
    <mergeCell ref="P39:Q39"/>
    <mergeCell ref="P40:Q40"/>
    <mergeCell ref="P42:Q42"/>
    <mergeCell ref="N42:O42"/>
    <mergeCell ref="H41:I41"/>
    <mergeCell ref="F41:G41"/>
    <mergeCell ref="N36:O36"/>
    <mergeCell ref="N37:O37"/>
    <mergeCell ref="N38:O38"/>
    <mergeCell ref="L41:M41"/>
    <mergeCell ref="N41:O41"/>
    <mergeCell ref="J37:K37"/>
  </mergeCells>
  <phoneticPr fontId="2" type="noConversion"/>
  <conditionalFormatting sqref="B41 B31 D31 D41 F31 F41 H31 J31 L31 N31 N41 L41 J41 H41 P31 P41 R31 T31 V31 X31 R41 T41 V41 X41">
    <cfRule type="cellIs" dxfId="5" priority="1" stopIfTrue="1" operator="lessThan">
      <formula>0</formula>
    </cfRule>
  </conditionalFormatting>
  <printOptions horizontalCentered="1" verticalCentered="1"/>
  <pageMargins left="0.5" right="0.5" top="0.5" bottom="0.5" header="0.25" footer="0.25"/>
  <pageSetup scale="92" orientation="landscape" r:id="rId1"/>
  <headerFooter>
    <oddFooter>&amp;L&amp;G</oddFooter>
  </headerFooter>
  <ignoredErrors>
    <ignoredError sqref="D9 P9 D43:D44 P43:P44" formula="1"/>
    <ignoredError sqref="P32 D32" formula="1" unlockedFormula="1"/>
    <ignoredError sqref="N8 D33 X12 D12 P33 H17:H18 X17:X18 X21 D27 F17:F18 D30:D31 P30:P31 R21 X8 F12 H12 J12 N21 P21 R8 R17:R18 R12 T8 T17:T18 T12 V8 V21 V17:V18 V12" unlocked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5703125" style="75" bestFit="1" customWidth="1"/>
    <col min="15" max="16384" width="9.7109375" style="75"/>
  </cols>
  <sheetData>
    <row r="1" spans="1:13" s="62" customFormat="1" ht="12" hidden="1" x14ac:dyDescent="0.2">
      <c r="A1" s="61"/>
      <c r="B1" s="443" t="s">
        <v>45</v>
      </c>
      <c r="C1" s="443"/>
      <c r="D1" s="443"/>
      <c r="E1" s="443"/>
      <c r="F1" s="443"/>
      <c r="G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42</v>
      </c>
      <c r="B4" s="67">
        <f>'Strip-Till'!B8</f>
        <v>0.7</v>
      </c>
      <c r="C4" s="68">
        <f>'Strip-Till'!D8</f>
        <v>400</v>
      </c>
      <c r="D4" s="69">
        <f>'Strip-Till'!F8</f>
        <v>4.25</v>
      </c>
      <c r="E4" s="69">
        <f>'Strip-Till'!H8</f>
        <v>9.75</v>
      </c>
      <c r="F4" s="69">
        <f>'Strip-Till'!J8</f>
        <v>3.8</v>
      </c>
      <c r="G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940</v>
      </c>
      <c r="D5" s="71">
        <f>D3*D4</f>
        <v>850</v>
      </c>
      <c r="E5" s="71">
        <f>E3*E4</f>
        <v>585</v>
      </c>
      <c r="F5" s="71">
        <f>F3*F4</f>
        <v>380</v>
      </c>
      <c r="G5" s="72"/>
    </row>
    <row r="6" spans="1:13" s="62" customFormat="1" ht="12" hidden="1" x14ac:dyDescent="0.2">
      <c r="A6" s="70" t="s">
        <v>43</v>
      </c>
      <c r="B6" s="73">
        <f>'Strip-Till'!B31</f>
        <v>534.42359492878791</v>
      </c>
      <c r="C6" s="73">
        <f>'Strip-Till'!D31</f>
        <v>635.87335000000007</v>
      </c>
      <c r="D6" s="73">
        <f>'Strip-Till'!F31</f>
        <v>665.75127499999996</v>
      </c>
      <c r="E6" s="73">
        <f>'Strip-Till'!H31</f>
        <v>316.28847145000003</v>
      </c>
      <c r="F6" s="73">
        <f>'Strip-Till'!J31</f>
        <v>347.50100000000003</v>
      </c>
      <c r="G6" s="68"/>
    </row>
    <row r="7" spans="1:13" s="62" customFormat="1" ht="15.75" x14ac:dyDescent="0.25">
      <c r="A7" s="442" t="s">
        <v>131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1" t="s">
        <v>155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</row>
    <row r="10" spans="1:13" x14ac:dyDescent="0.2">
      <c r="A10" s="435" t="s">
        <v>55</v>
      </c>
      <c r="B10" s="435"/>
      <c r="C10" s="435"/>
      <c r="D10" s="435"/>
      <c r="E10" s="435"/>
      <c r="F10" s="435"/>
      <c r="H10" s="435" t="s">
        <v>56</v>
      </c>
      <c r="I10" s="435"/>
      <c r="J10" s="435"/>
      <c r="K10" s="435"/>
      <c r="L10" s="435"/>
      <c r="M10" s="435"/>
    </row>
    <row r="11" spans="1:13" s="62" customFormat="1" ht="12" x14ac:dyDescent="0.2">
      <c r="A11" s="434" t="s">
        <v>36</v>
      </c>
      <c r="B11" s="434"/>
      <c r="C11" s="434"/>
      <c r="D11" s="434"/>
      <c r="E11" s="434"/>
      <c r="F11" s="434"/>
      <c r="H11" s="438" t="s">
        <v>36</v>
      </c>
      <c r="I11" s="438"/>
      <c r="J11" s="438"/>
      <c r="K11" s="438"/>
      <c r="L11" s="438"/>
      <c r="M11" s="438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2.9749999999999996</v>
      </c>
      <c r="B14" s="85">
        <f>$A$14*B$13-$D$6</f>
        <v>-219.50127500000002</v>
      </c>
      <c r="C14" s="85">
        <f>$A$14*C$13-$D$6</f>
        <v>-130.25127500000008</v>
      </c>
      <c r="D14" s="85">
        <f>$A$14*D$13-$D$6</f>
        <v>-70.751275000000078</v>
      </c>
      <c r="E14" s="85">
        <f>$A$14*E$13-$D$6</f>
        <v>-11.251274999999964</v>
      </c>
      <c r="F14" s="85">
        <f>$A$14*F$13-$D$6</f>
        <v>77.998724999999922</v>
      </c>
      <c r="H14" s="84">
        <f>Irrigated!H14</f>
        <v>0.48999999999999994</v>
      </c>
      <c r="I14" s="87">
        <f>$H$14*$I$13-$B$6</f>
        <v>-93.423594928787963</v>
      </c>
      <c r="J14" s="87">
        <f>$H$14*J13-$B$6</f>
        <v>-5.2235949287879748</v>
      </c>
      <c r="K14" s="87">
        <f>$H$14*K13-$B$6</f>
        <v>53.57640507121198</v>
      </c>
      <c r="L14" s="87">
        <f>$H$14*L13-$B$6</f>
        <v>112.37640507121205</v>
      </c>
      <c r="M14" s="87">
        <f>$H$14*M13-$B$6</f>
        <v>200.57640507121198</v>
      </c>
    </row>
    <row r="15" spans="1:13" x14ac:dyDescent="0.2">
      <c r="A15" s="86">
        <f>Irrigated!A15</f>
        <v>3.6124999999999998</v>
      </c>
      <c r="B15" s="87">
        <f>$A$15*B$13-$D$6</f>
        <v>-123.87627499999996</v>
      </c>
      <c r="C15" s="87">
        <f>$A$15*C$13-$D$6</f>
        <v>-15.501274999999964</v>
      </c>
      <c r="D15" s="87">
        <f>$A$15*D$13-$D$6</f>
        <v>56.748725000000036</v>
      </c>
      <c r="E15" s="87">
        <f>$A$15*E$13-$D$6</f>
        <v>128.99872500000015</v>
      </c>
      <c r="F15" s="87">
        <f>$A$15*F$13-$D$6</f>
        <v>237.37372500000004</v>
      </c>
      <c r="H15" s="86">
        <f>Irrigated!H15</f>
        <v>0.59499999999999997</v>
      </c>
      <c r="I15" s="87">
        <f>$H$15*$I$13-$B$6</f>
        <v>1.0764050712120934</v>
      </c>
      <c r="J15" s="87">
        <f>$H$15*J13-$B$6</f>
        <v>108.17640507121212</v>
      </c>
      <c r="K15" s="87">
        <f>$H$15*K13-$B$6</f>
        <v>179.57640507121209</v>
      </c>
      <c r="L15" s="87">
        <f>$H$15*L13-$B$6</f>
        <v>250.97640507121207</v>
      </c>
      <c r="M15" s="87">
        <f>$H$15*M13-$B$6</f>
        <v>358.07640507121209</v>
      </c>
    </row>
    <row r="16" spans="1:13" x14ac:dyDescent="0.2">
      <c r="A16" s="86">
        <f>Irrigated!A16</f>
        <v>4.25</v>
      </c>
      <c r="B16" s="87">
        <f>$A$16*B$13-$D$6</f>
        <v>-28.251274999999964</v>
      </c>
      <c r="C16" s="87">
        <f>$A$16*C$13-$D$6</f>
        <v>99.248725000000036</v>
      </c>
      <c r="D16" s="87">
        <f>$A$16*D$13-$D$6</f>
        <v>184.24872500000004</v>
      </c>
      <c r="E16" s="87">
        <f>$A$16*E$13-$D$6</f>
        <v>269.24872500000015</v>
      </c>
      <c r="F16" s="87">
        <f>$A$16*F$13-$D$6</f>
        <v>396.74872500000004</v>
      </c>
      <c r="H16" s="86">
        <f>Irrigated!H16</f>
        <v>0.7</v>
      </c>
      <c r="I16" s="87">
        <f>$H$16*$I$13-$B$6</f>
        <v>95.576405071212093</v>
      </c>
      <c r="J16" s="87">
        <f>$H$16*J13-$B$6</f>
        <v>221.57640507121209</v>
      </c>
      <c r="K16" s="87">
        <f>$H$16*K13-$B$6</f>
        <v>305.57640507121209</v>
      </c>
      <c r="L16" s="87">
        <f>$H$16*L13-$B$6</f>
        <v>389.57640507121198</v>
      </c>
      <c r="M16" s="87">
        <f>$H$16*M13-$B$6</f>
        <v>515.57640507121209</v>
      </c>
    </row>
    <row r="17" spans="1:13" x14ac:dyDescent="0.2">
      <c r="A17" s="86">
        <f>Irrigated!A17</f>
        <v>4.8874999999999993</v>
      </c>
      <c r="B17" s="87">
        <f>$A$17*B$13-$D$6</f>
        <v>67.373724999999922</v>
      </c>
      <c r="C17" s="87">
        <f>$A$17*C$13-$D$6</f>
        <v>213.99872499999992</v>
      </c>
      <c r="D17" s="87">
        <f>$A$17*D$13-$D$6</f>
        <v>311.74872499999992</v>
      </c>
      <c r="E17" s="87">
        <f>$A$17*E$13-$D$6</f>
        <v>409.49872500000004</v>
      </c>
      <c r="F17" s="87">
        <f>$A$17*F$13-$D$6</f>
        <v>556.12372499999981</v>
      </c>
      <c r="H17" s="86">
        <f>Irrigated!H17</f>
        <v>0.80499999999999994</v>
      </c>
      <c r="I17" s="87">
        <f>$H$17*$I$13-$B$6</f>
        <v>190.07640507121209</v>
      </c>
      <c r="J17" s="87">
        <f>$H$17*J13-$B$6</f>
        <v>334.97640507121207</v>
      </c>
      <c r="K17" s="87">
        <f>$H$17*K13-$B$6</f>
        <v>431.57640507121198</v>
      </c>
      <c r="L17" s="87">
        <f>$H$17*L13-$B$6</f>
        <v>528.176405071212</v>
      </c>
      <c r="M17" s="87">
        <f>$H$17*M13-$B$6</f>
        <v>673.07640507121209</v>
      </c>
    </row>
    <row r="18" spans="1:13" x14ac:dyDescent="0.2">
      <c r="A18" s="88">
        <f>Irrigated!A18</f>
        <v>5.5250000000000004</v>
      </c>
      <c r="B18" s="89">
        <f>$A$18*B$13-$D$6</f>
        <v>162.99872500000004</v>
      </c>
      <c r="C18" s="89">
        <f>$A$18*C$13-$D$6</f>
        <v>328.74872500000015</v>
      </c>
      <c r="D18" s="89">
        <f>$A$18*D$13-$D$6</f>
        <v>439.24872500000004</v>
      </c>
      <c r="E18" s="89">
        <f>$A$18*E$13-$D$6</f>
        <v>549.74872500000026</v>
      </c>
      <c r="F18" s="89">
        <f>$A$18*F$13-$D$6</f>
        <v>715.49872500000004</v>
      </c>
      <c r="H18" s="88">
        <f>Irrigated!H18</f>
        <v>0.90999999999999992</v>
      </c>
      <c r="I18" s="89">
        <f>$H$18*$I$13-$B$6</f>
        <v>284.57640507121198</v>
      </c>
      <c r="J18" s="89">
        <f>$H$18*J13-$B$6</f>
        <v>448.37640507121205</v>
      </c>
      <c r="K18" s="89">
        <f>$H$18*K13-$B$6</f>
        <v>557.57640507121209</v>
      </c>
      <c r="L18" s="89">
        <f>$H$18*L13-$B$6</f>
        <v>666.77640507121191</v>
      </c>
      <c r="M18" s="89">
        <f>$H$18*M13-$B$6</f>
        <v>830.57640507121187</v>
      </c>
    </row>
    <row r="20" spans="1:13" x14ac:dyDescent="0.2">
      <c r="A20" s="435" t="s">
        <v>57</v>
      </c>
      <c r="B20" s="435"/>
      <c r="C20" s="435"/>
      <c r="D20" s="435"/>
      <c r="E20" s="435"/>
      <c r="F20" s="435"/>
      <c r="H20" s="436" t="s">
        <v>122</v>
      </c>
      <c r="I20" s="436"/>
      <c r="J20" s="436"/>
      <c r="K20" s="436"/>
      <c r="L20" s="436"/>
      <c r="M20" s="436"/>
    </row>
    <row r="21" spans="1:13" s="62" customFormat="1" ht="12" x14ac:dyDescent="0.2">
      <c r="A21" s="434" t="s">
        <v>36</v>
      </c>
      <c r="B21" s="434"/>
      <c r="C21" s="434"/>
      <c r="D21" s="434"/>
      <c r="E21" s="434"/>
      <c r="F21" s="434"/>
      <c r="H21" s="437" t="s">
        <v>36</v>
      </c>
      <c r="I21" s="437"/>
      <c r="J21" s="437"/>
      <c r="K21" s="437"/>
      <c r="L21" s="437"/>
      <c r="M21" s="437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2.6599999999999997</v>
      </c>
      <c r="B24" s="85">
        <f>$A$24*B$23-$F$6</f>
        <v>-148.00100000000006</v>
      </c>
      <c r="C24" s="85">
        <f>$A$24*C$23-$F$6</f>
        <v>-108.10100000000006</v>
      </c>
      <c r="D24" s="85">
        <f>$A$24*D$23-$F$6</f>
        <v>-81.50100000000009</v>
      </c>
      <c r="E24" s="85">
        <f>$A$24*E$23-$F$6</f>
        <v>-54.90100000000001</v>
      </c>
      <c r="F24" s="85">
        <f>$A$24*F$23-$F$6</f>
        <v>-15.00100000000009</v>
      </c>
      <c r="H24" s="90">
        <f>Irrigated!H24</f>
        <v>280</v>
      </c>
      <c r="I24" s="85">
        <f>$H$24*I$23/2000-$C$6</f>
        <v>-142.37335000000007</v>
      </c>
      <c r="J24" s="85">
        <f>$H$24*J$23/2000-$C$6</f>
        <v>-43.673350000000028</v>
      </c>
      <c r="K24" s="85">
        <f>$H$24*K$23/2000-$C$6</f>
        <v>22.126649999999927</v>
      </c>
      <c r="L24" s="85">
        <f>$H$24*L$23/2000-$C$6</f>
        <v>87.926649999999881</v>
      </c>
      <c r="M24" s="85">
        <f>$H$24*M$23/2000-$C$6</f>
        <v>186.62664999999993</v>
      </c>
    </row>
    <row r="25" spans="1:13" x14ac:dyDescent="0.2">
      <c r="A25" s="86">
        <f>Irrigated!A25</f>
        <v>3.23</v>
      </c>
      <c r="B25" s="87">
        <f>$A$25*B$23-$F$6</f>
        <v>-105.25100000000003</v>
      </c>
      <c r="C25" s="87">
        <f>$A$25*C$23-$F$6</f>
        <v>-56.801000000000045</v>
      </c>
      <c r="D25" s="87">
        <f>$A$25*D$23-$F$6</f>
        <v>-24.501000000000033</v>
      </c>
      <c r="E25" s="87">
        <f>$A$25*E$23-$F$6</f>
        <v>7.799000000000035</v>
      </c>
      <c r="F25" s="87">
        <f>$A$25*F$23-$F$6</f>
        <v>56.248999999999967</v>
      </c>
      <c r="H25" s="91">
        <f>Irrigated!H25</f>
        <v>340</v>
      </c>
      <c r="I25" s="87">
        <f>$H$25*I$23/2000-$C$6</f>
        <v>-36.623350000000073</v>
      </c>
      <c r="J25" s="87">
        <f>$H$25*J$23/2000-$C$6</f>
        <v>83.22664999999995</v>
      </c>
      <c r="K25" s="87">
        <f>$H$25*K$23/2000-$C$6</f>
        <v>163.12664999999993</v>
      </c>
      <c r="L25" s="87">
        <f>$H$25*L$23/2000-$C$6</f>
        <v>243.0266499999999</v>
      </c>
      <c r="M25" s="87">
        <f>$H$25*M$23/2000-$C$6</f>
        <v>362.87664999999993</v>
      </c>
    </row>
    <row r="26" spans="1:13" x14ac:dyDescent="0.2">
      <c r="A26" s="86">
        <f>Irrigated!A26</f>
        <v>3.8</v>
      </c>
      <c r="B26" s="87">
        <f>$A$26*B$23-$F$6</f>
        <v>-62.501000000000033</v>
      </c>
      <c r="C26" s="87">
        <f>$A$26*C$23-$F$6</f>
        <v>-5.5010000000000332</v>
      </c>
      <c r="D26" s="87">
        <f>$A$26*D$23-$F$6</f>
        <v>32.498999999999967</v>
      </c>
      <c r="E26" s="87">
        <f>$A$26*E$23-$F$6</f>
        <v>70.499000000000024</v>
      </c>
      <c r="F26" s="87">
        <f>$A$26*F$23-$F$6</f>
        <v>127.49899999999997</v>
      </c>
      <c r="H26" s="91">
        <f>Irrigated!H26</f>
        <v>400</v>
      </c>
      <c r="I26" s="87">
        <f>$H$26*I$23/2000-$C$6</f>
        <v>69.126649999999927</v>
      </c>
      <c r="J26" s="87">
        <f>$H$26*J$23/2000-$C$6</f>
        <v>210.12664999999993</v>
      </c>
      <c r="K26" s="87">
        <f>$H$26*K$23/2000-$C$6</f>
        <v>304.12664999999993</v>
      </c>
      <c r="L26" s="87">
        <f>$H$26*L$23/2000-$C$6</f>
        <v>398.12664999999993</v>
      </c>
      <c r="M26" s="87">
        <f>$H$26*M$23/2000-$C$6</f>
        <v>539.12664999999993</v>
      </c>
    </row>
    <row r="27" spans="1:13" x14ac:dyDescent="0.2">
      <c r="A27" s="86">
        <f>Irrigated!A27</f>
        <v>4.3699999999999992</v>
      </c>
      <c r="B27" s="87">
        <f>$A$27*B$23-$F$6</f>
        <v>-19.75100000000009</v>
      </c>
      <c r="C27" s="87">
        <f>$A$27*C$23-$F$6</f>
        <v>45.798999999999921</v>
      </c>
      <c r="D27" s="87">
        <f>$A$27*D$23-$F$6</f>
        <v>89.49899999999991</v>
      </c>
      <c r="E27" s="87">
        <f>$A$27*E$23-$F$6</f>
        <v>133.19899999999996</v>
      </c>
      <c r="F27" s="87">
        <f>$A$27*F$23-$F$6</f>
        <v>198.74899999999985</v>
      </c>
      <c r="H27" s="91">
        <f>Irrigated!H27</f>
        <v>459.99999999999994</v>
      </c>
      <c r="I27" s="87">
        <f>$H$27*I$23/2000-$C$6</f>
        <v>174.87664999999981</v>
      </c>
      <c r="J27" s="87">
        <f>$H$27*J$23/2000-$C$6</f>
        <v>337.02664999999979</v>
      </c>
      <c r="K27" s="87">
        <f>$H$27*K$23/2000-$C$6</f>
        <v>445.1266499999997</v>
      </c>
      <c r="L27" s="87">
        <f>$H$27*L$23/2000-$C$6</f>
        <v>553.22664999999961</v>
      </c>
      <c r="M27" s="87">
        <f>$H$27*M$23/2000-$C$6</f>
        <v>715.3766499999997</v>
      </c>
    </row>
    <row r="28" spans="1:13" x14ac:dyDescent="0.2">
      <c r="A28" s="88">
        <f>Irrigated!A28</f>
        <v>4.9399999999999995</v>
      </c>
      <c r="B28" s="89">
        <f>$A$28*B$23-$F$6</f>
        <v>22.99899999999991</v>
      </c>
      <c r="C28" s="89">
        <f>$A$28*C$23-$F$6</f>
        <v>97.098999999999933</v>
      </c>
      <c r="D28" s="89">
        <f>$A$28*D$23-$F$6</f>
        <v>146.49899999999991</v>
      </c>
      <c r="E28" s="89">
        <f>$A$28*E$23-$F$6</f>
        <v>195.89899999999994</v>
      </c>
      <c r="F28" s="89">
        <f>$A$28*F$23-$F$6</f>
        <v>269.99899999999985</v>
      </c>
      <c r="H28" s="92">
        <f>Irrigated!H28</f>
        <v>520</v>
      </c>
      <c r="I28" s="89">
        <f>$H$28*I$23/2000-$C$6</f>
        <v>280.62664999999993</v>
      </c>
      <c r="J28" s="89">
        <f>$H$28*J$23/2000-$C$6</f>
        <v>463.92664999999988</v>
      </c>
      <c r="K28" s="89">
        <f>$H$28*K$23/2000-$C$6</f>
        <v>586.12664999999993</v>
      </c>
      <c r="L28" s="89">
        <f>$H$28*L$23/2000-$C$6</f>
        <v>708.32664999999997</v>
      </c>
      <c r="M28" s="89">
        <f>$H$28*M$23/2000-$C$6</f>
        <v>891.62664999999993</v>
      </c>
    </row>
    <row r="30" spans="1:13" x14ac:dyDescent="0.2">
      <c r="A30" s="435" t="s">
        <v>58</v>
      </c>
      <c r="B30" s="435"/>
      <c r="C30" s="435"/>
      <c r="D30" s="435"/>
      <c r="E30" s="435"/>
      <c r="F30" s="435"/>
    </row>
    <row r="31" spans="1:13" s="62" customFormat="1" ht="12" x14ac:dyDescent="0.2">
      <c r="A31" s="434" t="s">
        <v>36</v>
      </c>
      <c r="B31" s="434"/>
      <c r="C31" s="434"/>
      <c r="D31" s="434"/>
      <c r="E31" s="434"/>
      <c r="F31" s="434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6.8249999999999993</v>
      </c>
      <c r="B34" s="85">
        <f>$A$34*B$33-$E$6</f>
        <v>-9.1634714500000882</v>
      </c>
      <c r="C34" s="85">
        <f>$A$34*C$33-$E$6</f>
        <v>52.261528549999923</v>
      </c>
      <c r="D34" s="85">
        <f>$A$34*D$33-$E$6</f>
        <v>93.211528549999912</v>
      </c>
      <c r="E34" s="85">
        <f>$A$34*E$33-$E$6</f>
        <v>134.1615285499999</v>
      </c>
      <c r="F34" s="85">
        <f>$A$34*F$33-$E$6</f>
        <v>195.58652854999991</v>
      </c>
    </row>
    <row r="35" spans="1:6" x14ac:dyDescent="0.2">
      <c r="A35" s="86">
        <f>Irrigated!A35</f>
        <v>8.2874999999999996</v>
      </c>
      <c r="B35" s="87">
        <f>$A$35*B$33-$E$6</f>
        <v>56.649028549999969</v>
      </c>
      <c r="C35" s="87">
        <f>$A$35*C$33-$E$6</f>
        <v>131.23652854999995</v>
      </c>
      <c r="D35" s="87">
        <f>$A$35*D$33-$E$6</f>
        <v>180.96152854999997</v>
      </c>
      <c r="E35" s="87">
        <f>$A$35*E$33-$E$6</f>
        <v>230.68652854999999</v>
      </c>
      <c r="F35" s="87">
        <f>$A$35*F$33-$E$6</f>
        <v>305.27402854999997</v>
      </c>
    </row>
    <row r="36" spans="1:6" x14ac:dyDescent="0.2">
      <c r="A36" s="86">
        <f>Irrigated!A36</f>
        <v>9.75</v>
      </c>
      <c r="B36" s="87">
        <f>$A$36*B$33-$E$6</f>
        <v>122.46152854999997</v>
      </c>
      <c r="C36" s="87">
        <f>$A$36*C$33-$E$6</f>
        <v>210.21152854999997</v>
      </c>
      <c r="D36" s="87">
        <f>$A$36*D$33-$E$6</f>
        <v>268.71152854999997</v>
      </c>
      <c r="E36" s="87">
        <f>$A$36*E$33-$E$6</f>
        <v>327.21152854999997</v>
      </c>
      <c r="F36" s="87">
        <f>$A$36*F$33-$E$6</f>
        <v>414.96152854999997</v>
      </c>
    </row>
    <row r="37" spans="1:6" x14ac:dyDescent="0.2">
      <c r="A37" s="86">
        <f>Irrigated!A37</f>
        <v>11.212499999999999</v>
      </c>
      <c r="B37" s="87">
        <f>$A$37*B$33-$E$6</f>
        <v>188.27402854999991</v>
      </c>
      <c r="C37" s="87">
        <f>$A$37*C$33-$E$6</f>
        <v>289.18652854999988</v>
      </c>
      <c r="D37" s="87">
        <f>$A$37*D$33-$E$6</f>
        <v>356.46152854999985</v>
      </c>
      <c r="E37" s="87">
        <f>$A$37*E$33-$E$6</f>
        <v>423.73652854999983</v>
      </c>
      <c r="F37" s="87">
        <f>$A$37*F$33-$E$6</f>
        <v>524.64902854999991</v>
      </c>
    </row>
    <row r="38" spans="1:6" x14ac:dyDescent="0.2">
      <c r="A38" s="88">
        <f>Irrigated!A38</f>
        <v>12.675000000000001</v>
      </c>
      <c r="B38" s="89">
        <f>$A$38*B$33-$E$6</f>
        <v>254.08652854999997</v>
      </c>
      <c r="C38" s="89">
        <f>$A$38*C$33-$E$6</f>
        <v>368.16152855000001</v>
      </c>
      <c r="D38" s="89">
        <f>$A$38*D$33-$E$6</f>
        <v>444.21152854999997</v>
      </c>
      <c r="E38" s="89">
        <f>$A$38*E$33-$E$6</f>
        <v>520.26152855000009</v>
      </c>
      <c r="F38" s="89">
        <f>$A$38*F$33-$E$6</f>
        <v>634.33652854999991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443" t="s">
        <v>46</v>
      </c>
      <c r="C1" s="443"/>
      <c r="D1" s="443"/>
      <c r="E1" s="443"/>
      <c r="F1" s="443"/>
      <c r="G1" s="93"/>
    </row>
    <row r="2" spans="1:13" s="62" customFormat="1" ht="12" hidden="1" x14ac:dyDescent="0.2">
      <c r="A2" s="63" t="s">
        <v>40</v>
      </c>
      <c r="B2" s="64" t="str">
        <f>Conventional!N6</f>
        <v>Cotton</v>
      </c>
      <c r="C2" s="64" t="str">
        <f>Conventional!P6</f>
        <v>Peanuts</v>
      </c>
      <c r="D2" s="64" t="str">
        <f>Conventional!R6</f>
        <v>Corn</v>
      </c>
      <c r="E2" s="64" t="str">
        <f>Conventional!T6</f>
        <v>Soybeans</v>
      </c>
      <c r="F2" s="64" t="str">
        <f>Conventional!V6</f>
        <v>Sorghum</v>
      </c>
    </row>
    <row r="3" spans="1:13" s="62" customFormat="1" ht="12" hidden="1" x14ac:dyDescent="0.2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42</v>
      </c>
      <c r="B4" s="67">
        <f>'Strip-Till'!L8</f>
        <v>0.7</v>
      </c>
      <c r="C4" s="68">
        <f>'Strip-Till'!N8</f>
        <v>400</v>
      </c>
      <c r="D4" s="69">
        <f>'Strip-Till'!P8</f>
        <v>4.25</v>
      </c>
      <c r="E4" s="69">
        <f>'Strip-Till'!R8</f>
        <v>9.75</v>
      </c>
      <c r="F4" s="69">
        <f>'Strip-Till'!T8</f>
        <v>3.8</v>
      </c>
    </row>
    <row r="5" spans="1:13" s="62" customFormat="1" ht="12" hidden="1" x14ac:dyDescent="0.2">
      <c r="A5" s="70" t="s">
        <v>44</v>
      </c>
      <c r="B5" s="71">
        <f>B3*B4</f>
        <v>525</v>
      </c>
      <c r="C5" s="71">
        <f>C3*C4/2000</f>
        <v>680</v>
      </c>
      <c r="D5" s="71">
        <f>D3*D4</f>
        <v>361.25</v>
      </c>
      <c r="E5" s="71">
        <f>E3*E4</f>
        <v>292.5</v>
      </c>
      <c r="F5" s="71">
        <f>F3*F4</f>
        <v>247</v>
      </c>
    </row>
    <row r="6" spans="1:13" s="62" customFormat="1" ht="12" hidden="1" x14ac:dyDescent="0.2">
      <c r="A6" s="70" t="s">
        <v>43</v>
      </c>
      <c r="B6" s="73">
        <f>'Strip-Till'!L31</f>
        <v>447.51518742424247</v>
      </c>
      <c r="C6" s="73">
        <f>'Strip-Till'!N31</f>
        <v>546.16747499999997</v>
      </c>
      <c r="D6" s="73">
        <f>'Strip-Till'!P31</f>
        <v>330.23412896249999</v>
      </c>
      <c r="E6" s="73">
        <f>'Strip-Till'!R31</f>
        <v>246.99462935</v>
      </c>
      <c r="F6" s="73">
        <f>'Strip-Till'!T31</f>
        <v>235.37700926250002</v>
      </c>
    </row>
    <row r="7" spans="1:13" s="62" customFormat="1" ht="15.75" x14ac:dyDescent="0.25">
      <c r="A7" s="442" t="s">
        <v>132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1" t="s">
        <v>155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</row>
    <row r="10" spans="1:13" x14ac:dyDescent="0.2">
      <c r="A10" s="435" t="s">
        <v>59</v>
      </c>
      <c r="B10" s="435"/>
      <c r="C10" s="435"/>
      <c r="D10" s="435"/>
      <c r="E10" s="435"/>
      <c r="F10" s="435"/>
      <c r="H10" s="435" t="s">
        <v>62</v>
      </c>
      <c r="I10" s="435"/>
      <c r="J10" s="435"/>
      <c r="K10" s="435"/>
      <c r="L10" s="435"/>
      <c r="M10" s="435"/>
    </row>
    <row r="11" spans="1:13" s="62" customFormat="1" ht="12" x14ac:dyDescent="0.2">
      <c r="A11" s="434" t="s">
        <v>36</v>
      </c>
      <c r="B11" s="434"/>
      <c r="C11" s="434"/>
      <c r="D11" s="434"/>
      <c r="E11" s="434"/>
      <c r="F11" s="434"/>
      <c r="H11" s="438" t="s">
        <v>36</v>
      </c>
      <c r="I11" s="438"/>
      <c r="J11" s="438"/>
      <c r="K11" s="438"/>
      <c r="L11" s="438"/>
      <c r="M11" s="438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-140.57787896250002</v>
      </c>
      <c r="C14" s="85">
        <f>$A$14*C$13-$D$6</f>
        <v>-102.64662896250002</v>
      </c>
      <c r="D14" s="85">
        <f>$A$14*D$13-$D$6</f>
        <v>-77.359128962500023</v>
      </c>
      <c r="E14" s="85">
        <f>$A$14*E$13-$D$6</f>
        <v>-52.071628962499972</v>
      </c>
      <c r="F14" s="85">
        <f>$A$14*F$13-$D$6</f>
        <v>-14.140378962500051</v>
      </c>
      <c r="H14" s="84">
        <f>Irrigated!H14</f>
        <v>0.48999999999999994</v>
      </c>
      <c r="I14" s="85">
        <f>$H$14*I$13-$B$6</f>
        <v>-171.89018742424253</v>
      </c>
      <c r="J14" s="85">
        <f>$H$14*J$13-$B$6</f>
        <v>-116.76518742424253</v>
      </c>
      <c r="K14" s="85">
        <f>$H$14*K$13-$B$6</f>
        <v>-80.015187424242527</v>
      </c>
      <c r="L14" s="85">
        <f>$H$14*L$13-$B$6</f>
        <v>-43.26518742424247</v>
      </c>
      <c r="M14" s="85">
        <f>$H$14*M$13-$B$6</f>
        <v>11.859812575757473</v>
      </c>
    </row>
    <row r="15" spans="1:13" x14ac:dyDescent="0.2">
      <c r="A15" s="86">
        <f>Irrigated!A15</f>
        <v>3.6124999999999998</v>
      </c>
      <c r="B15" s="87">
        <f>$A$15*B$13-$D$6</f>
        <v>-99.937253962499994</v>
      </c>
      <c r="C15" s="87">
        <f>$A$15*C$13-$D$6</f>
        <v>-53.877878962500006</v>
      </c>
      <c r="D15" s="87">
        <f>$A$15*D$13-$D$6</f>
        <v>-23.171628962499994</v>
      </c>
      <c r="E15" s="87">
        <f>$A$15*E$13-$D$6</f>
        <v>7.5346210375000169</v>
      </c>
      <c r="F15" s="87">
        <f>$A$15*F$13-$D$6</f>
        <v>53.593996037500006</v>
      </c>
      <c r="H15" s="86">
        <f>Irrigated!H15</f>
        <v>0.59499999999999997</v>
      </c>
      <c r="I15" s="87">
        <f>$H$15*I$13-$B$6</f>
        <v>-112.82768742424247</v>
      </c>
      <c r="J15" s="87">
        <f>$H$15*J$13-$B$6</f>
        <v>-45.89018742424247</v>
      </c>
      <c r="K15" s="87">
        <f>$H$15*K$13-$B$6</f>
        <v>-1.2651874242424697</v>
      </c>
      <c r="L15" s="87">
        <f>$H$15*L$13-$B$6</f>
        <v>43.359812575757587</v>
      </c>
      <c r="M15" s="87">
        <f>$H$15*M$13-$B$6</f>
        <v>110.29731257575753</v>
      </c>
    </row>
    <row r="16" spans="1:13" x14ac:dyDescent="0.2">
      <c r="A16" s="86">
        <f>Irrigated!A16</f>
        <v>4.25</v>
      </c>
      <c r="B16" s="87">
        <f>$A$16*B$13-$D$6</f>
        <v>-59.296628962499994</v>
      </c>
      <c r="C16" s="87">
        <f>$A$16*C$13-$D$6</f>
        <v>-5.1091289624999945</v>
      </c>
      <c r="D16" s="87">
        <f>$A$16*D$13-$D$6</f>
        <v>31.015871037500006</v>
      </c>
      <c r="E16" s="87">
        <f>$A$16*E$13-$D$6</f>
        <v>67.140871037500062</v>
      </c>
      <c r="F16" s="87">
        <f>$A$16*F$13-$D$6</f>
        <v>121.32837103750001</v>
      </c>
      <c r="H16" s="86">
        <f>Irrigated!H16</f>
        <v>0.7</v>
      </c>
      <c r="I16" s="87">
        <f>$H$16*I$13-$B$6</f>
        <v>-53.76518742424247</v>
      </c>
      <c r="J16" s="87">
        <f>$H$16*J$13-$B$6</f>
        <v>24.984812575757473</v>
      </c>
      <c r="K16" s="87">
        <f>$H$16*K$13-$B$6</f>
        <v>77.48481257575753</v>
      </c>
      <c r="L16" s="87">
        <f>$H$16*L$13-$B$6</f>
        <v>129.98481257575753</v>
      </c>
      <c r="M16" s="87">
        <f>$H$16*M$13-$B$6</f>
        <v>208.73481257575753</v>
      </c>
    </row>
    <row r="17" spans="1:13" x14ac:dyDescent="0.2">
      <c r="A17" s="86">
        <f>Irrigated!A17</f>
        <v>4.8874999999999993</v>
      </c>
      <c r="B17" s="87">
        <f>$A$17*B$13-$D$6</f>
        <v>-18.656003962500051</v>
      </c>
      <c r="C17" s="87">
        <f>$A$17*C$13-$D$6</f>
        <v>43.65962103749996</v>
      </c>
      <c r="D17" s="87">
        <f>$A$17*D$13-$D$6</f>
        <v>85.203371037499949</v>
      </c>
      <c r="E17" s="87">
        <f>$A$17*E$13-$D$6</f>
        <v>126.74712103749999</v>
      </c>
      <c r="F17" s="87">
        <f>$A$17*F$13-$D$6</f>
        <v>189.06274603749989</v>
      </c>
      <c r="H17" s="86">
        <f>Irrigated!H17</f>
        <v>0.80499999999999994</v>
      </c>
      <c r="I17" s="87">
        <f>$H$17*I$13-$B$6</f>
        <v>5.2973125757574735</v>
      </c>
      <c r="J17" s="87">
        <f>$H$17*J$13-$B$6</f>
        <v>95.85981257575753</v>
      </c>
      <c r="K17" s="87">
        <f>$H$17*K$13-$B$6</f>
        <v>156.23481257575753</v>
      </c>
      <c r="L17" s="87">
        <f>$H$17*L$13-$B$6</f>
        <v>216.60981257575753</v>
      </c>
      <c r="M17" s="87">
        <f>$H$17*M$13-$B$6</f>
        <v>307.17231257575742</v>
      </c>
    </row>
    <row r="18" spans="1:13" x14ac:dyDescent="0.2">
      <c r="A18" s="88">
        <f>Irrigated!A18</f>
        <v>5.5250000000000004</v>
      </c>
      <c r="B18" s="89">
        <f>$A$18*B$13-$D$6</f>
        <v>21.984621037500006</v>
      </c>
      <c r="C18" s="89">
        <f>$A$18*C$13-$D$6</f>
        <v>92.428371037500028</v>
      </c>
      <c r="D18" s="89">
        <f>$A$18*D$13-$D$6</f>
        <v>139.39087103750006</v>
      </c>
      <c r="E18" s="89">
        <f>$A$18*E$13-$D$6</f>
        <v>186.3533710375001</v>
      </c>
      <c r="F18" s="89">
        <f>$A$18*F$13-$D$6</f>
        <v>256.79712103750001</v>
      </c>
      <c r="H18" s="88">
        <f>Irrigated!H18</f>
        <v>0.90999999999999992</v>
      </c>
      <c r="I18" s="89">
        <f>$H$18*I$13-$B$6</f>
        <v>64.359812575757473</v>
      </c>
      <c r="J18" s="89">
        <f>$H$18*J$13-$B$6</f>
        <v>166.73481257575753</v>
      </c>
      <c r="K18" s="89">
        <f>$H$18*K$13-$B$6</f>
        <v>234.98481257575742</v>
      </c>
      <c r="L18" s="89">
        <f>$H$18*L$13-$B$6</f>
        <v>303.23481257575753</v>
      </c>
      <c r="M18" s="89">
        <f>$H$18*M$13-$B$6</f>
        <v>405.60981257575742</v>
      </c>
    </row>
    <row r="20" spans="1:13" x14ac:dyDescent="0.2">
      <c r="A20" s="435" t="s">
        <v>60</v>
      </c>
      <c r="B20" s="435"/>
      <c r="C20" s="435"/>
      <c r="D20" s="435"/>
      <c r="E20" s="435"/>
      <c r="F20" s="435"/>
      <c r="H20" s="436" t="s">
        <v>123</v>
      </c>
      <c r="I20" s="436"/>
      <c r="J20" s="436"/>
      <c r="K20" s="436"/>
      <c r="L20" s="436"/>
      <c r="M20" s="436"/>
    </row>
    <row r="21" spans="1:13" s="62" customFormat="1" ht="12" x14ac:dyDescent="0.2">
      <c r="A21" s="434" t="s">
        <v>36</v>
      </c>
      <c r="B21" s="434"/>
      <c r="C21" s="434"/>
      <c r="D21" s="434"/>
      <c r="E21" s="434"/>
      <c r="F21" s="434"/>
      <c r="H21" s="437" t="s">
        <v>36</v>
      </c>
      <c r="I21" s="437"/>
      <c r="J21" s="437"/>
      <c r="K21" s="437"/>
      <c r="L21" s="437"/>
      <c r="M21" s="437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2.6599999999999997</v>
      </c>
      <c r="B24" s="85">
        <f>$A$24*B$23-$F$6</f>
        <v>-105.70200926250004</v>
      </c>
      <c r="C24" s="85">
        <f>$A$24*C$23-$F$6</f>
        <v>-79.767009262500039</v>
      </c>
      <c r="D24" s="85">
        <f>$A$24*D$23-$F$6</f>
        <v>-62.477009262500047</v>
      </c>
      <c r="E24" s="85">
        <f>$A$24*E$23-$F$6</f>
        <v>-45.187009262500055</v>
      </c>
      <c r="F24" s="85">
        <f>$A$24*F$23-$F$6</f>
        <v>-19.252009262500053</v>
      </c>
      <c r="H24" s="90">
        <f>Irrigated!H24</f>
        <v>280</v>
      </c>
      <c r="I24" s="85">
        <f>$H$24*I$23/2000-$C$6</f>
        <v>-189.16747499999997</v>
      </c>
      <c r="J24" s="85">
        <f>$H$24*J$23/2000-$C$6</f>
        <v>-117.76747499999999</v>
      </c>
      <c r="K24" s="85">
        <f>$H$24*K$23/2000-$C$6</f>
        <v>-70.167474999999968</v>
      </c>
      <c r="L24" s="85">
        <f>$H$24*L$23/2000-$C$6</f>
        <v>-22.567474999999945</v>
      </c>
      <c r="M24" s="85">
        <f>$H$24*M$23/2000-$C$6</f>
        <v>48.832525000000032</v>
      </c>
    </row>
    <row r="25" spans="1:13" x14ac:dyDescent="0.2">
      <c r="A25" s="86">
        <f>Irrigated!A25</f>
        <v>3.23</v>
      </c>
      <c r="B25" s="87">
        <f>$A$25*B$23-$F$6</f>
        <v>-77.914509262500019</v>
      </c>
      <c r="C25" s="87">
        <f>$A$25*C$23-$F$6</f>
        <v>-46.422009262500012</v>
      </c>
      <c r="D25" s="87">
        <f>$A$25*D$23-$F$6</f>
        <v>-25.427009262500036</v>
      </c>
      <c r="E25" s="87">
        <f>$A$25*E$23-$F$6</f>
        <v>-4.4320092625000314</v>
      </c>
      <c r="F25" s="87">
        <f>$A$25*F$23-$F$6</f>
        <v>27.060490737499975</v>
      </c>
      <c r="H25" s="91">
        <f>Irrigated!H25</f>
        <v>340</v>
      </c>
      <c r="I25" s="87">
        <f>$H$25*I$23/2000-$C$6</f>
        <v>-112.66747499999997</v>
      </c>
      <c r="J25" s="87">
        <f>$H$25*J$23/2000-$C$6</f>
        <v>-25.967474999999922</v>
      </c>
      <c r="K25" s="87">
        <f>$H$25*K$23/2000-$C$6</f>
        <v>31.832525000000032</v>
      </c>
      <c r="L25" s="87">
        <f>$H$25*L$23/2000-$C$6</f>
        <v>89.632525000000101</v>
      </c>
      <c r="M25" s="87">
        <f>$H$25*M$23/2000-$C$6</f>
        <v>176.33252500000003</v>
      </c>
    </row>
    <row r="26" spans="1:13" x14ac:dyDescent="0.2">
      <c r="A26" s="86">
        <f>Irrigated!A26</f>
        <v>3.8</v>
      </c>
      <c r="B26" s="87">
        <f>$A$26*B$23-$F$6</f>
        <v>-50.127009262500025</v>
      </c>
      <c r="C26" s="87">
        <f>$A$26*C$23-$F$6</f>
        <v>-13.077009262500042</v>
      </c>
      <c r="D26" s="87">
        <f>$A$26*D$23-$F$6</f>
        <v>11.622990737499975</v>
      </c>
      <c r="E26" s="87">
        <f>$A$26*E$23-$F$6</f>
        <v>36.322990737499964</v>
      </c>
      <c r="F26" s="87">
        <f>$A$26*F$23-$F$6</f>
        <v>73.372990737499975</v>
      </c>
      <c r="H26" s="91">
        <f>Irrigated!H26</f>
        <v>400</v>
      </c>
      <c r="I26" s="87">
        <f>$H$26*I$23/2000-$C$6</f>
        <v>-36.167474999999968</v>
      </c>
      <c r="J26" s="87">
        <f>$H$26*J$23/2000-$C$6</f>
        <v>65.832525000000032</v>
      </c>
      <c r="K26" s="87">
        <f>$H$26*K$23/2000-$C$6</f>
        <v>133.83252500000003</v>
      </c>
      <c r="L26" s="87">
        <f>$H$26*L$23/2000-$C$6</f>
        <v>201.83252500000015</v>
      </c>
      <c r="M26" s="87">
        <f>$H$26*M$23/2000-$C$6</f>
        <v>303.83252500000003</v>
      </c>
    </row>
    <row r="27" spans="1:13" x14ac:dyDescent="0.2">
      <c r="A27" s="86">
        <f>Irrigated!A27</f>
        <v>4.3699999999999992</v>
      </c>
      <c r="B27" s="87">
        <f>$A$27*B$23-$F$6</f>
        <v>-22.339509262500059</v>
      </c>
      <c r="C27" s="87">
        <f>$A$27*C$23-$F$6</f>
        <v>20.267990737499929</v>
      </c>
      <c r="D27" s="87">
        <f>$A$27*D$23-$F$6</f>
        <v>48.67299073749993</v>
      </c>
      <c r="E27" s="87">
        <f>$A$27*E$23-$F$6</f>
        <v>77.077990737499903</v>
      </c>
      <c r="F27" s="87">
        <f>$A$27*F$23-$F$6</f>
        <v>119.68549073749992</v>
      </c>
      <c r="H27" s="91">
        <f>Irrigated!H27</f>
        <v>459.99999999999994</v>
      </c>
      <c r="I27" s="87">
        <f>$H$27*I$23/2000-$C$6</f>
        <v>40.332524999999919</v>
      </c>
      <c r="J27" s="87">
        <f>$H$27*J$23/2000-$C$6</f>
        <v>157.63252499999987</v>
      </c>
      <c r="K27" s="87">
        <f>$H$27*K$23/2000-$C$6</f>
        <v>235.83252499999992</v>
      </c>
      <c r="L27" s="87">
        <f>$H$27*L$23/2000-$C$6</f>
        <v>314.03252500000008</v>
      </c>
      <c r="M27" s="87">
        <f>$H$27*M$23/2000-$C$6</f>
        <v>431.33252499999992</v>
      </c>
    </row>
    <row r="28" spans="1:13" x14ac:dyDescent="0.2">
      <c r="A28" s="88">
        <f>Irrigated!A28</f>
        <v>4.9399999999999995</v>
      </c>
      <c r="B28" s="89">
        <f>$A$28*B$23-$F$6</f>
        <v>5.4479907374999641</v>
      </c>
      <c r="C28" s="89">
        <f>$A$28*C$23-$F$6</f>
        <v>53.612990737499928</v>
      </c>
      <c r="D28" s="89">
        <f>$A$28*D$23-$F$6</f>
        <v>85.722990737499941</v>
      </c>
      <c r="E28" s="89">
        <f>$A$28*E$23-$F$6</f>
        <v>117.83299073749996</v>
      </c>
      <c r="F28" s="89">
        <f>$A$28*F$23-$F$6</f>
        <v>165.99799073749992</v>
      </c>
      <c r="H28" s="92">
        <f>Irrigated!H28</f>
        <v>520</v>
      </c>
      <c r="I28" s="89">
        <f>$H$28*I$23/2000-$C$6</f>
        <v>116.83252500000003</v>
      </c>
      <c r="J28" s="89">
        <f>$H$28*J$23/2000-$C$6</f>
        <v>249.43252500000006</v>
      </c>
      <c r="K28" s="89">
        <f>$H$28*K$23/2000-$C$6</f>
        <v>337.83252500000003</v>
      </c>
      <c r="L28" s="89">
        <f>$H$28*L$23/2000-$C$6</f>
        <v>426.23252500000012</v>
      </c>
      <c r="M28" s="89">
        <f>$H$28*M$23/2000-$C$6</f>
        <v>558.83252500000003</v>
      </c>
    </row>
    <row r="30" spans="1:13" x14ac:dyDescent="0.2">
      <c r="A30" s="435" t="s">
        <v>61</v>
      </c>
      <c r="B30" s="435"/>
      <c r="C30" s="435"/>
      <c r="D30" s="435"/>
      <c r="E30" s="435"/>
      <c r="F30" s="435"/>
    </row>
    <row r="31" spans="1:13" s="62" customFormat="1" ht="12" x14ac:dyDescent="0.2">
      <c r="A31" s="434" t="s">
        <v>36</v>
      </c>
      <c r="B31" s="434"/>
      <c r="C31" s="434"/>
      <c r="D31" s="434"/>
      <c r="E31" s="434"/>
      <c r="F31" s="434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6.8249999999999993</v>
      </c>
      <c r="B34" s="85">
        <f>$A$34*B$33-$E$6</f>
        <v>-93.432129350000025</v>
      </c>
      <c r="C34" s="85">
        <f>$A$34*C$33-$E$6</f>
        <v>-62.719629350000019</v>
      </c>
      <c r="D34" s="85">
        <f>$A$34*D$33-$E$6</f>
        <v>-42.244629350000025</v>
      </c>
      <c r="E34" s="85">
        <f>$A$34*E$33-$E$6</f>
        <v>-21.769629350000031</v>
      </c>
      <c r="F34" s="85">
        <f>$A$34*F$33-$E$6</f>
        <v>8.9428706499999748</v>
      </c>
      <c r="I34" s="62"/>
    </row>
    <row r="35" spans="1:9" x14ac:dyDescent="0.2">
      <c r="A35" s="86">
        <f>Irrigated!A35</f>
        <v>8.2874999999999996</v>
      </c>
      <c r="B35" s="87">
        <f>$A$35*B$33-$E$6</f>
        <v>-60.525879349999997</v>
      </c>
      <c r="C35" s="87">
        <f>$A$35*C$33-$E$6</f>
        <v>-23.232129350000008</v>
      </c>
      <c r="D35" s="87">
        <f>$A$35*D$33-$E$6</f>
        <v>1.6303706500000033</v>
      </c>
      <c r="E35" s="87">
        <f>$A$35*E$33-$E$6</f>
        <v>26.492870650000015</v>
      </c>
      <c r="F35" s="87">
        <f>$A$35*F$33-$E$6</f>
        <v>63.786620650000003</v>
      </c>
      <c r="I35" s="62"/>
    </row>
    <row r="36" spans="1:9" x14ac:dyDescent="0.2">
      <c r="A36" s="86">
        <f>Irrigated!A36</f>
        <v>9.75</v>
      </c>
      <c r="B36" s="87">
        <f>$A$36*B$33-$E$6</f>
        <v>-27.619629349999997</v>
      </c>
      <c r="C36" s="87">
        <f>$A$36*C$33-$E$6</f>
        <v>16.255370650000003</v>
      </c>
      <c r="D36" s="87">
        <f>$A$36*D$33-$E$6</f>
        <v>45.505370650000003</v>
      </c>
      <c r="E36" s="87">
        <f>$A$36*E$33-$E$6</f>
        <v>74.755370650000003</v>
      </c>
      <c r="F36" s="87">
        <f>$A$36*F$33-$E$6</f>
        <v>118.63037065</v>
      </c>
      <c r="I36" s="62"/>
    </row>
    <row r="37" spans="1:9" x14ac:dyDescent="0.2">
      <c r="A37" s="86">
        <f>Irrigated!A37</f>
        <v>11.212499999999999</v>
      </c>
      <c r="B37" s="87">
        <f>$A$37*B$33-$E$6</f>
        <v>5.2866206499999748</v>
      </c>
      <c r="C37" s="87">
        <f>$A$37*C$33-$E$6</f>
        <v>55.742870649999958</v>
      </c>
      <c r="D37" s="87">
        <f>$A$37*D$33-$E$6</f>
        <v>89.380370649999946</v>
      </c>
      <c r="E37" s="87">
        <f>$A$37*E$33-$E$6</f>
        <v>123.01787064999994</v>
      </c>
      <c r="F37" s="87">
        <f>$A$37*F$33-$E$6</f>
        <v>173.47412064999995</v>
      </c>
      <c r="I37" s="62"/>
    </row>
    <row r="38" spans="1:9" x14ac:dyDescent="0.2">
      <c r="A38" s="88">
        <f>Irrigated!A38</f>
        <v>12.675000000000001</v>
      </c>
      <c r="B38" s="89">
        <f>$A$38*B$33-$E$6</f>
        <v>38.192870650000003</v>
      </c>
      <c r="C38" s="89">
        <f>$A$38*C$33-$E$6</f>
        <v>95.230370650000026</v>
      </c>
      <c r="D38" s="89">
        <f>$A$38*D$33-$E$6</f>
        <v>133.25537065</v>
      </c>
      <c r="E38" s="89">
        <f>$A$38*E$33-$E$6</f>
        <v>171.28037065000004</v>
      </c>
      <c r="F38" s="89">
        <f>$A$38*F$33-$E$6</f>
        <v>228.31787065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H218"/>
  <sheetViews>
    <sheetView zoomScale="150" zoomScaleNormal="1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ColWidth="8.85546875" defaultRowHeight="12.75" x14ac:dyDescent="0.2"/>
  <cols>
    <col min="1" max="1" width="31.140625" style="96" customWidth="1"/>
    <col min="2" max="2" width="5.42578125" style="102" bestFit="1" customWidth="1"/>
    <col min="3" max="3" width="3" style="102" bestFit="1" customWidth="1"/>
    <col min="4" max="4" width="5.42578125" style="102" bestFit="1" customWidth="1"/>
    <col min="5" max="5" width="4" style="102" bestFit="1" customWidth="1"/>
    <col min="6" max="6" width="5.42578125" style="102" bestFit="1" customWidth="1"/>
    <col min="7" max="7" width="3.42578125" style="102" bestFit="1" customWidth="1"/>
    <col min="8" max="8" width="5.42578125" style="102" bestFit="1" customWidth="1"/>
    <col min="9" max="9" width="3.42578125" style="102" bestFit="1" customWidth="1"/>
    <col min="10" max="10" width="5.42578125" style="102" bestFit="1" customWidth="1"/>
    <col min="11" max="11" width="3.42578125" style="102" bestFit="1" customWidth="1"/>
    <col min="12" max="12" width="5.42578125" style="102" bestFit="1" customWidth="1"/>
    <col min="13" max="13" width="3" style="102" bestFit="1" customWidth="1"/>
    <col min="14" max="14" width="5.42578125" style="102" bestFit="1" customWidth="1"/>
    <col min="15" max="15" width="4" style="102" bestFit="1" customWidth="1"/>
    <col min="16" max="16" width="5.42578125" style="102" bestFit="1" customWidth="1"/>
    <col min="17" max="17" width="3.42578125" style="102" bestFit="1" customWidth="1"/>
    <col min="18" max="18" width="6.42578125" style="102" bestFit="1" customWidth="1"/>
    <col min="19" max="19" width="3.42578125" style="102" bestFit="1" customWidth="1"/>
    <col min="20" max="20" width="5.42578125" style="102" bestFit="1" customWidth="1"/>
    <col min="21" max="21" width="3.42578125" style="102" bestFit="1" customWidth="1"/>
    <col min="22" max="22" width="8.85546875" style="102"/>
    <col min="23" max="34" width="8.85546875" style="101"/>
    <col min="35" max="16384" width="8.85546875" style="102"/>
  </cols>
  <sheetData>
    <row r="1" spans="1:34" s="96" customFormat="1" ht="12" x14ac:dyDescent="0.2">
      <c r="A1" s="94" t="str">
        <f>Conventional!A1</f>
        <v>SUMMARY OF SOUTH GEORGIA CROP ENTERPRISE ESTIMATES, 2015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96" customFormat="1" ht="12" x14ac:dyDescent="0.2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x14ac:dyDescent="0.2">
      <c r="A3" s="444" t="str">
        <f>Conventional!A3</f>
        <v>January 2015 Update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101"/>
    </row>
    <row r="4" spans="1:34" x14ac:dyDescent="0.2">
      <c r="A4" s="103" t="s">
        <v>26</v>
      </c>
      <c r="B4" s="364" t="s">
        <v>0</v>
      </c>
      <c r="C4" s="362"/>
      <c r="D4" s="362"/>
      <c r="E4" s="362"/>
      <c r="F4" s="362"/>
      <c r="G4" s="362"/>
      <c r="H4" s="362"/>
      <c r="I4" s="362"/>
      <c r="J4" s="362"/>
      <c r="K4" s="104"/>
      <c r="L4" s="374" t="s">
        <v>1</v>
      </c>
      <c r="M4" s="374"/>
      <c r="N4" s="374"/>
      <c r="O4" s="374"/>
      <c r="P4" s="374"/>
      <c r="Q4" s="374"/>
      <c r="R4" s="374"/>
      <c r="S4" s="374"/>
      <c r="T4" s="374"/>
      <c r="U4" s="105"/>
      <c r="V4" s="101"/>
    </row>
    <row r="5" spans="1:34" hidden="1" x14ac:dyDescent="0.2">
      <c r="A5" s="106"/>
      <c r="B5" s="107"/>
      <c r="C5" s="108"/>
      <c r="D5" s="297"/>
      <c r="E5" s="298"/>
      <c r="F5" s="262"/>
      <c r="G5" s="251"/>
      <c r="H5" s="238"/>
      <c r="I5" s="251"/>
      <c r="J5" s="370" t="s">
        <v>23</v>
      </c>
      <c r="K5" s="409"/>
      <c r="L5" s="108"/>
      <c r="M5" s="108"/>
      <c r="N5" s="301"/>
      <c r="O5" s="302"/>
      <c r="P5" s="262"/>
      <c r="Q5" s="251"/>
      <c r="R5" s="238"/>
      <c r="S5" s="251"/>
      <c r="T5" s="411" t="s">
        <v>23</v>
      </c>
      <c r="U5" s="412"/>
      <c r="V5" s="101"/>
    </row>
    <row r="6" spans="1:34" x14ac:dyDescent="0.2">
      <c r="A6" s="106"/>
      <c r="B6" s="383" t="s">
        <v>2</v>
      </c>
      <c r="C6" s="374"/>
      <c r="D6" s="407" t="s">
        <v>3</v>
      </c>
      <c r="E6" s="408"/>
      <c r="F6" s="382" t="s">
        <v>4</v>
      </c>
      <c r="G6" s="379"/>
      <c r="H6" s="374" t="s">
        <v>5</v>
      </c>
      <c r="I6" s="379"/>
      <c r="J6" s="374" t="s">
        <v>6</v>
      </c>
      <c r="K6" s="410"/>
      <c r="L6" s="383" t="s">
        <v>2</v>
      </c>
      <c r="M6" s="374"/>
      <c r="N6" s="407" t="s">
        <v>3</v>
      </c>
      <c r="O6" s="408"/>
      <c r="P6" s="382" t="s">
        <v>4</v>
      </c>
      <c r="Q6" s="379"/>
      <c r="R6" s="374" t="s">
        <v>5</v>
      </c>
      <c r="S6" s="379"/>
      <c r="T6" s="374" t="s">
        <v>6</v>
      </c>
      <c r="U6" s="375"/>
      <c r="V6" s="101"/>
    </row>
    <row r="7" spans="1:34" x14ac:dyDescent="0.2">
      <c r="A7" s="109" t="s">
        <v>156</v>
      </c>
      <c r="B7" s="295">
        <v>1200</v>
      </c>
      <c r="C7" s="293" t="s">
        <v>160</v>
      </c>
      <c r="D7" s="284">
        <f>'Peanut Price Calculator'!B10</f>
        <v>4700</v>
      </c>
      <c r="E7" s="299" t="s">
        <v>160</v>
      </c>
      <c r="F7" s="288">
        <v>200</v>
      </c>
      <c r="G7" s="289" t="s">
        <v>163</v>
      </c>
      <c r="H7" s="290">
        <v>60</v>
      </c>
      <c r="I7" s="289" t="s">
        <v>163</v>
      </c>
      <c r="J7" s="290">
        <v>100</v>
      </c>
      <c r="K7" s="292" t="s">
        <v>163</v>
      </c>
      <c r="L7" s="290">
        <v>750</v>
      </c>
      <c r="M7" s="293" t="s">
        <v>160</v>
      </c>
      <c r="N7" s="284">
        <f>'Peanut Price Calculator'!B21</f>
        <v>3400</v>
      </c>
      <c r="O7" s="299" t="s">
        <v>160</v>
      </c>
      <c r="P7" s="288">
        <v>85</v>
      </c>
      <c r="Q7" s="289" t="s">
        <v>163</v>
      </c>
      <c r="R7" s="290">
        <v>30</v>
      </c>
      <c r="S7" s="289" t="s">
        <v>163</v>
      </c>
      <c r="T7" s="290">
        <v>65</v>
      </c>
      <c r="U7" s="291" t="s">
        <v>163</v>
      </c>
      <c r="V7" s="101"/>
    </row>
    <row r="8" spans="1:34" ht="13.5" thickBot="1" x14ac:dyDescent="0.25">
      <c r="A8" s="110" t="s">
        <v>124</v>
      </c>
      <c r="B8" s="296">
        <f>Conventional!B8</f>
        <v>0.7</v>
      </c>
      <c r="C8" s="282" t="s">
        <v>161</v>
      </c>
      <c r="D8" s="286">
        <f>'Peanut Price Calculator'!B17</f>
        <v>400</v>
      </c>
      <c r="E8" s="300" t="s">
        <v>162</v>
      </c>
      <c r="F8" s="279">
        <f>Conventional!F8</f>
        <v>4.25</v>
      </c>
      <c r="G8" s="276" t="s">
        <v>164</v>
      </c>
      <c r="H8" s="280">
        <f>Conventional!H8</f>
        <v>9.75</v>
      </c>
      <c r="I8" s="276" t="s">
        <v>164</v>
      </c>
      <c r="J8" s="280">
        <f>Conventional!J8</f>
        <v>3.8</v>
      </c>
      <c r="K8" s="281" t="s">
        <v>164</v>
      </c>
      <c r="L8" s="280">
        <f>Conventional!B8</f>
        <v>0.7</v>
      </c>
      <c r="M8" s="282" t="s">
        <v>161</v>
      </c>
      <c r="N8" s="286">
        <f>'Peanut Price Calculator'!B28</f>
        <v>400</v>
      </c>
      <c r="O8" s="300" t="s">
        <v>162</v>
      </c>
      <c r="P8" s="279">
        <f>Conventional!F8</f>
        <v>4.25</v>
      </c>
      <c r="Q8" s="276" t="s">
        <v>164</v>
      </c>
      <c r="R8" s="280">
        <f>Conventional!H8</f>
        <v>9.75</v>
      </c>
      <c r="S8" s="276" t="s">
        <v>164</v>
      </c>
      <c r="T8" s="280">
        <f>Conventional!J8</f>
        <v>3.8</v>
      </c>
      <c r="U8" s="278" t="s">
        <v>164</v>
      </c>
      <c r="V8" s="101"/>
    </row>
    <row r="9" spans="1:34" x14ac:dyDescent="0.2">
      <c r="A9" s="111" t="s">
        <v>157</v>
      </c>
      <c r="B9" s="366">
        <f>B7*B8</f>
        <v>840</v>
      </c>
      <c r="C9" s="342"/>
      <c r="D9" s="350">
        <f>D8*(D7/2000)</f>
        <v>940</v>
      </c>
      <c r="E9" s="342"/>
      <c r="F9" s="350">
        <f>F7*F8</f>
        <v>850</v>
      </c>
      <c r="G9" s="351"/>
      <c r="H9" s="342">
        <f>H7*H8</f>
        <v>585</v>
      </c>
      <c r="I9" s="351"/>
      <c r="J9" s="342">
        <f>J7*J8</f>
        <v>380</v>
      </c>
      <c r="K9" s="406"/>
      <c r="L9" s="366">
        <f>L7*L8</f>
        <v>525</v>
      </c>
      <c r="M9" s="342"/>
      <c r="N9" s="350">
        <f>N8*(N7/2000)</f>
        <v>680</v>
      </c>
      <c r="O9" s="342"/>
      <c r="P9" s="350">
        <f>P7*P8</f>
        <v>361.25</v>
      </c>
      <c r="Q9" s="351"/>
      <c r="R9" s="342">
        <f>R7*R8</f>
        <v>292.5</v>
      </c>
      <c r="S9" s="351"/>
      <c r="T9" s="413">
        <f>T7*T8</f>
        <v>247</v>
      </c>
      <c r="U9" s="414"/>
      <c r="V9" s="101"/>
    </row>
    <row r="10" spans="1:34" hidden="1" x14ac:dyDescent="0.2">
      <c r="A10" s="112" t="s">
        <v>158</v>
      </c>
      <c r="B10" s="113"/>
      <c r="C10" s="114"/>
      <c r="D10" s="252"/>
      <c r="E10" s="114"/>
      <c r="F10" s="252"/>
      <c r="G10" s="253"/>
      <c r="H10" s="114"/>
      <c r="I10" s="253"/>
      <c r="J10" s="114"/>
      <c r="K10" s="115"/>
      <c r="L10" s="114"/>
      <c r="M10" s="114"/>
      <c r="N10" s="252"/>
      <c r="O10" s="114"/>
      <c r="P10" s="252"/>
      <c r="Q10" s="253"/>
      <c r="R10" s="114"/>
      <c r="S10" s="253"/>
      <c r="T10" s="114"/>
      <c r="U10" s="116"/>
      <c r="V10" s="101"/>
    </row>
    <row r="11" spans="1:34" x14ac:dyDescent="0.2">
      <c r="A11" s="106" t="s">
        <v>24</v>
      </c>
      <c r="B11" s="367">
        <v>100.45</v>
      </c>
      <c r="C11" s="340"/>
      <c r="D11" s="357">
        <v>94.5</v>
      </c>
      <c r="E11" s="340"/>
      <c r="F11" s="357">
        <v>94.4</v>
      </c>
      <c r="G11" s="358"/>
      <c r="H11" s="340">
        <f>50</f>
        <v>50</v>
      </c>
      <c r="I11" s="358"/>
      <c r="J11" s="340">
        <v>13.5</v>
      </c>
      <c r="K11" s="415"/>
      <c r="L11" s="367">
        <v>100.45</v>
      </c>
      <c r="M11" s="340"/>
      <c r="N11" s="357">
        <v>94.5</v>
      </c>
      <c r="O11" s="340"/>
      <c r="P11" s="357">
        <v>51</v>
      </c>
      <c r="Q11" s="358"/>
      <c r="R11" s="340">
        <v>50</v>
      </c>
      <c r="S11" s="358"/>
      <c r="T11" s="340">
        <v>8.25</v>
      </c>
      <c r="U11" s="341"/>
      <c r="V11" s="101"/>
    </row>
    <row r="12" spans="1:34" x14ac:dyDescent="0.2">
      <c r="A12" s="106" t="s">
        <v>30</v>
      </c>
      <c r="B12" s="317">
        <f>15*1.5</f>
        <v>22.5</v>
      </c>
      <c r="C12" s="318"/>
      <c r="D12" s="305">
        <v>22.5</v>
      </c>
      <c r="E12" s="318"/>
      <c r="F12" s="305">
        <v>22.5</v>
      </c>
      <c r="G12" s="306"/>
      <c r="H12" s="318">
        <v>22.5</v>
      </c>
      <c r="I12" s="306"/>
      <c r="J12" s="318">
        <v>22.5</v>
      </c>
      <c r="K12" s="399"/>
      <c r="L12" s="317">
        <v>22.5</v>
      </c>
      <c r="M12" s="318"/>
      <c r="N12" s="305">
        <v>22.5</v>
      </c>
      <c r="O12" s="318"/>
      <c r="P12" s="305">
        <v>22.5</v>
      </c>
      <c r="Q12" s="306"/>
      <c r="R12" s="318">
        <v>22.5</v>
      </c>
      <c r="S12" s="306"/>
      <c r="T12" s="318">
        <v>22.5</v>
      </c>
      <c r="U12" s="325"/>
      <c r="V12" s="101"/>
    </row>
    <row r="13" spans="1:34" x14ac:dyDescent="0.2">
      <c r="A13" s="106" t="s">
        <v>8</v>
      </c>
      <c r="B13" s="317">
        <f>B7/495*0.5</f>
        <v>1.2121212121212122</v>
      </c>
      <c r="C13" s="318"/>
      <c r="D13" s="254"/>
      <c r="E13" s="117"/>
      <c r="F13" s="254"/>
      <c r="G13" s="255"/>
      <c r="H13" s="117"/>
      <c r="I13" s="255"/>
      <c r="J13" s="117"/>
      <c r="K13" s="118"/>
      <c r="L13" s="317">
        <f>L7/495*0.5</f>
        <v>0.75757575757575757</v>
      </c>
      <c r="M13" s="318"/>
      <c r="N13" s="254"/>
      <c r="O13" s="117"/>
      <c r="P13" s="254"/>
      <c r="Q13" s="255"/>
      <c r="R13" s="117"/>
      <c r="S13" s="255"/>
      <c r="T13" s="117"/>
      <c r="U13" s="119"/>
      <c r="V13" s="101"/>
    </row>
    <row r="14" spans="1:34" x14ac:dyDescent="0.2">
      <c r="A14" s="106" t="s">
        <v>31</v>
      </c>
      <c r="B14" s="317">
        <f>14+2.63+B7*0.075*$D$47+0.05833*B7*$F$47+0.05833*B7*$H$47</f>
        <v>131.22664</v>
      </c>
      <c r="C14" s="318"/>
      <c r="D14" s="305">
        <f>8+52+2.25</f>
        <v>62.25</v>
      </c>
      <c r="E14" s="318"/>
      <c r="F14" s="305">
        <f>22+1.2*F7*$D$47+0.6*F7*$F$47+F7*$H$47</f>
        <v>304.39999999999998</v>
      </c>
      <c r="G14" s="306"/>
      <c r="H14" s="318">
        <f>4+14.52+0.6667*H7*$F$47+1.333*H7*$H$47+2.25</f>
        <v>70.762660000000011</v>
      </c>
      <c r="I14" s="306"/>
      <c r="J14" s="318">
        <f>22+1.25*J7*$D$47+0.6*J7*$F$47+0.9*J7*$H$47</f>
        <v>162.19999999999999</v>
      </c>
      <c r="K14" s="399"/>
      <c r="L14" s="317">
        <f>14+2.63+0.0933*L7*$D$47+0.0667*L7*$F$47+0.0667*L7*$H$47</f>
        <v>102.0355</v>
      </c>
      <c r="M14" s="318"/>
      <c r="N14" s="305">
        <f>8+52+2.25</f>
        <v>62.25</v>
      </c>
      <c r="O14" s="318"/>
      <c r="P14" s="305">
        <f>11+P7*1.2*$D$47+0.4706*P7*$F$47+0.7059*P7*$H$47</f>
        <v>116.041045</v>
      </c>
      <c r="Q14" s="306"/>
      <c r="R14" s="318">
        <f>4+14.52+1.3333*R7*$F$47+2.6667*R7*$H$47+2.25</f>
        <v>70.769980000000004</v>
      </c>
      <c r="S14" s="306"/>
      <c r="T14" s="318">
        <f>11+1.2308*T7*$D$47+0.6154*T7*$F$47+0.9231*T7*$H$47</f>
        <v>102.40228500000001</v>
      </c>
      <c r="U14" s="325"/>
      <c r="V14" s="101"/>
    </row>
    <row r="15" spans="1:34" x14ac:dyDescent="0.2">
      <c r="A15" s="106" t="s">
        <v>126</v>
      </c>
      <c r="B15" s="120"/>
      <c r="C15" s="117"/>
      <c r="D15" s="254"/>
      <c r="E15" s="117"/>
      <c r="F15" s="254"/>
      <c r="G15" s="255"/>
      <c r="H15" s="117"/>
      <c r="I15" s="255"/>
      <c r="J15" s="117"/>
      <c r="K15" s="118"/>
      <c r="L15" s="117"/>
      <c r="M15" s="117"/>
      <c r="N15" s="254"/>
      <c r="O15" s="117"/>
      <c r="P15" s="254"/>
      <c r="Q15" s="255"/>
      <c r="R15" s="117"/>
      <c r="S15" s="255"/>
      <c r="T15" s="117"/>
      <c r="U15" s="119"/>
      <c r="V15" s="101"/>
    </row>
    <row r="16" spans="1:34" x14ac:dyDescent="0.2">
      <c r="A16" s="106" t="s">
        <v>9</v>
      </c>
      <c r="B16" s="317">
        <f>12.63+12.5+34.58+9+9.7+3.6+14.82+9</f>
        <v>105.83000000000001</v>
      </c>
      <c r="C16" s="318"/>
      <c r="D16" s="305">
        <f>56.36+46.2+74.67</f>
        <v>177.23000000000002</v>
      </c>
      <c r="E16" s="318"/>
      <c r="F16" s="305">
        <f>22.56+18.2</f>
        <v>40.76</v>
      </c>
      <c r="G16" s="306"/>
      <c r="H16" s="318">
        <f>43.21+5.02+30.6</f>
        <v>78.830000000000013</v>
      </c>
      <c r="I16" s="306"/>
      <c r="J16" s="318">
        <f>18.2</f>
        <v>18.2</v>
      </c>
      <c r="K16" s="399"/>
      <c r="L16" s="317">
        <f>12.63+12.5+34.58+9+9.7+1.6+14.82+9</f>
        <v>103.83000000000001</v>
      </c>
      <c r="M16" s="318"/>
      <c r="N16" s="305">
        <f>64.65+40.98+46.2</f>
        <v>151.82999999999998</v>
      </c>
      <c r="O16" s="318"/>
      <c r="P16" s="305">
        <f>22.56+18.2</f>
        <v>40.76</v>
      </c>
      <c r="Q16" s="306"/>
      <c r="R16" s="318">
        <f>39.53+5.02</f>
        <v>44.55</v>
      </c>
      <c r="S16" s="306"/>
      <c r="T16" s="318">
        <f>18.2</f>
        <v>18.2</v>
      </c>
      <c r="U16" s="325"/>
      <c r="V16" s="101"/>
    </row>
    <row r="17" spans="1:22" x14ac:dyDescent="0.2">
      <c r="A17" s="106" t="s">
        <v>174</v>
      </c>
      <c r="B17" s="317"/>
      <c r="C17" s="318"/>
      <c r="D17" s="254"/>
      <c r="E17" s="117"/>
      <c r="F17" s="254"/>
      <c r="G17" s="255"/>
      <c r="H17" s="117"/>
      <c r="I17" s="255"/>
      <c r="J17" s="117"/>
      <c r="K17" s="118"/>
      <c r="L17" s="317"/>
      <c r="M17" s="318"/>
      <c r="N17" s="254"/>
      <c r="O17" s="117"/>
      <c r="P17" s="254"/>
      <c r="Q17" s="255"/>
      <c r="R17" s="117"/>
      <c r="S17" s="255"/>
      <c r="T17" s="117"/>
      <c r="U17" s="119"/>
      <c r="V17" s="101"/>
    </row>
    <row r="18" spans="1:22" x14ac:dyDescent="0.2">
      <c r="A18" s="106" t="s">
        <v>176</v>
      </c>
      <c r="B18" s="317">
        <f>Conventional!B17</f>
        <v>7.5</v>
      </c>
      <c r="C18" s="318"/>
      <c r="D18" s="305">
        <f>Conventional!D17</f>
        <v>7.5</v>
      </c>
      <c r="E18" s="306"/>
      <c r="F18" s="254"/>
      <c r="G18" s="255"/>
      <c r="H18" s="117"/>
      <c r="I18" s="255"/>
      <c r="J18" s="117"/>
      <c r="K18" s="118"/>
      <c r="L18" s="317">
        <f>Conventional!N17</f>
        <v>7.5</v>
      </c>
      <c r="M18" s="318"/>
      <c r="N18" s="305">
        <f>Conventional!P17</f>
        <v>7.5</v>
      </c>
      <c r="O18" s="306"/>
      <c r="P18" s="254"/>
      <c r="Q18" s="255"/>
      <c r="R18" s="117"/>
      <c r="S18" s="255"/>
      <c r="T18" s="117"/>
      <c r="U18" s="119"/>
      <c r="V18" s="101"/>
    </row>
    <row r="19" spans="1:22" x14ac:dyDescent="0.2">
      <c r="A19" s="106" t="s">
        <v>10</v>
      </c>
      <c r="B19" s="317">
        <f>Conventional!B18</f>
        <v>10</v>
      </c>
      <c r="C19" s="318"/>
      <c r="D19" s="305">
        <f>Conventional!D18</f>
        <v>10</v>
      </c>
      <c r="E19" s="306"/>
      <c r="F19" s="254"/>
      <c r="G19" s="255"/>
      <c r="H19" s="117"/>
      <c r="I19" s="255"/>
      <c r="J19" s="117"/>
      <c r="K19" s="118"/>
      <c r="L19" s="317">
        <f>Conventional!N18</f>
        <v>10</v>
      </c>
      <c r="M19" s="318"/>
      <c r="N19" s="305">
        <f>Conventional!P18</f>
        <v>10</v>
      </c>
      <c r="O19" s="306"/>
      <c r="P19" s="254"/>
      <c r="Q19" s="255"/>
      <c r="R19" s="117"/>
      <c r="S19" s="255"/>
      <c r="T19" s="117"/>
      <c r="U19" s="119"/>
      <c r="V19" s="101"/>
    </row>
    <row r="20" spans="1:22" x14ac:dyDescent="0.2">
      <c r="A20" s="106" t="s">
        <v>32</v>
      </c>
      <c r="B20" s="317">
        <f>11.71*$B$49</f>
        <v>31.617000000000004</v>
      </c>
      <c r="C20" s="318"/>
      <c r="D20" s="305">
        <f>(5.2+7.9)*$B$49</f>
        <v>35.370000000000005</v>
      </c>
      <c r="E20" s="318"/>
      <c r="F20" s="305">
        <f>5.9*$B$49</f>
        <v>15.930000000000001</v>
      </c>
      <c r="G20" s="306"/>
      <c r="H20" s="318">
        <f>5.5*$B$49</f>
        <v>14.850000000000001</v>
      </c>
      <c r="I20" s="306"/>
      <c r="J20" s="318">
        <f>5.9*$B$49</f>
        <v>15.930000000000001</v>
      </c>
      <c r="K20" s="399"/>
      <c r="L20" s="317">
        <f>11.24*$B$49</f>
        <v>30.348000000000003</v>
      </c>
      <c r="M20" s="318"/>
      <c r="N20" s="305">
        <f>(5.2+7.9)*$B$49</f>
        <v>35.370000000000005</v>
      </c>
      <c r="O20" s="318"/>
      <c r="P20" s="305">
        <f>5.9*$B$49</f>
        <v>15.930000000000001</v>
      </c>
      <c r="Q20" s="306"/>
      <c r="R20" s="318">
        <f>5.5*$B$49</f>
        <v>14.850000000000001</v>
      </c>
      <c r="S20" s="306"/>
      <c r="T20" s="318">
        <f>5.9*$B$49</f>
        <v>15.930000000000001</v>
      </c>
      <c r="U20" s="325"/>
      <c r="V20" s="101"/>
    </row>
    <row r="21" spans="1:22" x14ac:dyDescent="0.2">
      <c r="A21" s="106" t="s">
        <v>11</v>
      </c>
      <c r="B21" s="317">
        <f>1.05*21.83</f>
        <v>22.921499999999998</v>
      </c>
      <c r="C21" s="318"/>
      <c r="D21" s="305">
        <f>10.61+26.22</f>
        <v>36.83</v>
      </c>
      <c r="E21" s="318"/>
      <c r="F21" s="305">
        <f>7.88+7.49</f>
        <v>15.370000000000001</v>
      </c>
      <c r="G21" s="306"/>
      <c r="H21" s="305">
        <f>6.73+6.85</f>
        <v>13.58</v>
      </c>
      <c r="I21" s="306"/>
      <c r="J21" s="318">
        <f>7.88+6.52</f>
        <v>14.399999999999999</v>
      </c>
      <c r="K21" s="325"/>
      <c r="L21" s="317">
        <f>1.05*20.05</f>
        <v>21.052500000000002</v>
      </c>
      <c r="M21" s="318"/>
      <c r="N21" s="305">
        <f>10.61+26.22</f>
        <v>36.83</v>
      </c>
      <c r="O21" s="318"/>
      <c r="P21" s="305">
        <f>7.88+7.49</f>
        <v>15.370000000000001</v>
      </c>
      <c r="Q21" s="306"/>
      <c r="R21" s="318">
        <f>6.73+6.85</f>
        <v>13.58</v>
      </c>
      <c r="S21" s="306"/>
      <c r="T21" s="318">
        <f>7.88+6.52</f>
        <v>14.399999999999999</v>
      </c>
      <c r="U21" s="325"/>
      <c r="V21" s="101"/>
    </row>
    <row r="22" spans="1:22" x14ac:dyDescent="0.2">
      <c r="A22" s="106" t="s">
        <v>33</v>
      </c>
      <c r="B22" s="317">
        <f>((7*7)+(4.6*$B$49*7))/2</f>
        <v>67.97</v>
      </c>
      <c r="C22" s="318"/>
      <c r="D22" s="305">
        <f>((7*5)+(4.6*$B$49*5))/2</f>
        <v>48.55</v>
      </c>
      <c r="E22" s="318"/>
      <c r="F22" s="305">
        <f>((7*7)+(4.6*$B$49*7))/2</f>
        <v>67.97</v>
      </c>
      <c r="G22" s="306"/>
      <c r="H22" s="318">
        <f>((7*4)+(4.6*$B$49*4))/2</f>
        <v>38.840000000000003</v>
      </c>
      <c r="I22" s="306"/>
      <c r="J22" s="318">
        <f>((7*3)+(4.6*$B$49*3))/2</f>
        <v>29.13</v>
      </c>
      <c r="K22" s="399"/>
      <c r="L22" s="117"/>
      <c r="M22" s="117"/>
      <c r="N22" s="254"/>
      <c r="O22" s="117"/>
      <c r="P22" s="254"/>
      <c r="Q22" s="255"/>
      <c r="R22" s="117"/>
      <c r="S22" s="255"/>
      <c r="T22" s="117"/>
      <c r="U22" s="119"/>
      <c r="V22" s="101"/>
    </row>
    <row r="23" spans="1:22" x14ac:dyDescent="0.2">
      <c r="A23" s="106" t="s">
        <v>13</v>
      </c>
      <c r="B23" s="317">
        <v>23.59</v>
      </c>
      <c r="C23" s="318"/>
      <c r="D23" s="305">
        <v>24.45</v>
      </c>
      <c r="E23" s="318"/>
      <c r="F23" s="305">
        <v>9.94</v>
      </c>
      <c r="G23" s="306"/>
      <c r="H23" s="318">
        <v>8.9700000000000006</v>
      </c>
      <c r="I23" s="306"/>
      <c r="J23" s="318">
        <v>9.94</v>
      </c>
      <c r="K23" s="325"/>
      <c r="L23" s="317">
        <v>23.59</v>
      </c>
      <c r="M23" s="318"/>
      <c r="N23" s="305">
        <v>24.45</v>
      </c>
      <c r="O23" s="318"/>
      <c r="P23" s="305">
        <v>9.94</v>
      </c>
      <c r="Q23" s="306"/>
      <c r="R23" s="318">
        <v>8.9700000000000006</v>
      </c>
      <c r="S23" s="306"/>
      <c r="T23" s="318">
        <v>9.94</v>
      </c>
      <c r="U23" s="325"/>
      <c r="V23" s="101"/>
    </row>
    <row r="24" spans="1:22" x14ac:dyDescent="0.2">
      <c r="A24" s="106" t="s">
        <v>14</v>
      </c>
      <c r="B24" s="317">
        <f>Conventional!B23</f>
        <v>13</v>
      </c>
      <c r="C24" s="318"/>
      <c r="D24" s="305">
        <f>Conventional!D23</f>
        <v>21</v>
      </c>
      <c r="E24" s="318"/>
      <c r="F24" s="305">
        <f>Conventional!F23</f>
        <v>14</v>
      </c>
      <c r="G24" s="306"/>
      <c r="H24" s="318">
        <f>Conventional!H23</f>
        <v>8</v>
      </c>
      <c r="I24" s="306"/>
      <c r="J24" s="318">
        <f>Conventional!J23</f>
        <v>21</v>
      </c>
      <c r="K24" s="399"/>
      <c r="L24" s="117">
        <f>Conventional!N23</f>
        <v>24</v>
      </c>
      <c r="M24" s="117"/>
      <c r="N24" s="305">
        <f>Conventional!P23</f>
        <v>29</v>
      </c>
      <c r="O24" s="318"/>
      <c r="P24" s="305">
        <f>Conventional!R23</f>
        <v>23</v>
      </c>
      <c r="Q24" s="306"/>
      <c r="R24" s="318">
        <f>Conventional!T23</f>
        <v>14</v>
      </c>
      <c r="S24" s="306"/>
      <c r="T24" s="318">
        <f>Conventional!V23</f>
        <v>17</v>
      </c>
      <c r="U24" s="325"/>
      <c r="V24" s="101"/>
    </row>
    <row r="25" spans="1:22" x14ac:dyDescent="0.2">
      <c r="A25" s="106" t="s">
        <v>127</v>
      </c>
      <c r="B25" s="120"/>
      <c r="C25" s="117"/>
      <c r="D25" s="254"/>
      <c r="E25" s="117"/>
      <c r="F25" s="254"/>
      <c r="G25" s="255"/>
      <c r="H25" s="117"/>
      <c r="I25" s="255"/>
      <c r="J25" s="117"/>
      <c r="K25" s="118"/>
      <c r="L25" s="117"/>
      <c r="M25" s="117"/>
      <c r="N25" s="254"/>
      <c r="O25" s="117"/>
      <c r="P25" s="254"/>
      <c r="Q25" s="255"/>
      <c r="R25" s="117"/>
      <c r="S25" s="255"/>
      <c r="T25" s="117"/>
      <c r="U25" s="119"/>
      <c r="V25" s="101"/>
    </row>
    <row r="26" spans="1:22" x14ac:dyDescent="0.2">
      <c r="A26" s="106" t="s">
        <v>16</v>
      </c>
      <c r="B26" s="120"/>
      <c r="C26" s="117"/>
      <c r="D26" s="254"/>
      <c r="E26" s="117"/>
      <c r="F26" s="254"/>
      <c r="G26" s="255"/>
      <c r="H26" s="117"/>
      <c r="I26" s="255"/>
      <c r="J26" s="117"/>
      <c r="K26" s="118"/>
      <c r="L26" s="117"/>
      <c r="M26" s="117"/>
      <c r="N26" s="254"/>
      <c r="O26" s="117"/>
      <c r="P26" s="254"/>
      <c r="Q26" s="255"/>
      <c r="R26" s="117"/>
      <c r="S26" s="255"/>
      <c r="T26" s="117"/>
      <c r="U26" s="119"/>
      <c r="V26" s="101"/>
    </row>
    <row r="27" spans="1:22" x14ac:dyDescent="0.2">
      <c r="A27" s="106" t="s">
        <v>17</v>
      </c>
      <c r="B27" s="360">
        <f t="shared" ref="B27:T27" si="0">(SUM(B11:B26))*0.5*0.065</f>
        <v>17.47906098939394</v>
      </c>
      <c r="C27" s="336"/>
      <c r="D27" s="387">
        <f t="shared" si="0"/>
        <v>17.555850000000003</v>
      </c>
      <c r="E27" s="336"/>
      <c r="F27" s="387">
        <f t="shared" si="0"/>
        <v>19.021274999999999</v>
      </c>
      <c r="G27" s="388"/>
      <c r="H27" s="336">
        <f t="shared" si="0"/>
        <v>9.9558114500000006</v>
      </c>
      <c r="I27" s="388"/>
      <c r="J27" s="336">
        <f t="shared" si="0"/>
        <v>9.9710000000000001</v>
      </c>
      <c r="K27" s="400"/>
      <c r="L27" s="360">
        <f t="shared" si="0"/>
        <v>14.497066212121213</v>
      </c>
      <c r="M27" s="336"/>
      <c r="N27" s="387">
        <f t="shared" si="0"/>
        <v>15.412474999999999</v>
      </c>
      <c r="O27" s="336"/>
      <c r="P27" s="387">
        <f t="shared" si="0"/>
        <v>9.5725839624999995</v>
      </c>
      <c r="Q27" s="388"/>
      <c r="R27" s="336">
        <f t="shared" si="0"/>
        <v>7.7746493499999998</v>
      </c>
      <c r="S27" s="388"/>
      <c r="T27" s="336">
        <f t="shared" si="0"/>
        <v>6.7802242625</v>
      </c>
      <c r="U27" s="337"/>
      <c r="V27" s="101"/>
    </row>
    <row r="28" spans="1:22" x14ac:dyDescent="0.2">
      <c r="A28" s="106" t="s">
        <v>173</v>
      </c>
      <c r="B28" s="360">
        <f>B7*0.085+B7/495*17.13-1.37*B7/2000*200</f>
        <v>-20.872727272727275</v>
      </c>
      <c r="C28" s="336"/>
      <c r="D28" s="256"/>
      <c r="E28" s="121"/>
      <c r="F28" s="256"/>
      <c r="G28" s="257"/>
      <c r="H28" s="121"/>
      <c r="I28" s="257"/>
      <c r="J28" s="121"/>
      <c r="K28" s="122"/>
      <c r="L28" s="360">
        <f>L7*0.085+L7/495*17.13-1.37*L7/2000*200</f>
        <v>-13.045454545454547</v>
      </c>
      <c r="M28" s="336"/>
      <c r="N28" s="256"/>
      <c r="O28" s="121"/>
      <c r="P28" s="256"/>
      <c r="Q28" s="257"/>
      <c r="R28" s="121"/>
      <c r="S28" s="257"/>
      <c r="T28" s="121"/>
      <c r="U28" s="123"/>
      <c r="V28" s="101"/>
    </row>
    <row r="29" spans="1:22" x14ac:dyDescent="0.2">
      <c r="A29" s="106" t="s">
        <v>15</v>
      </c>
      <c r="B29" s="124"/>
      <c r="C29" s="121"/>
      <c r="D29" s="387">
        <f>D7/2000*0.33*20+D7/2000*0.67*30</f>
        <v>62.745000000000005</v>
      </c>
      <c r="E29" s="336"/>
      <c r="F29" s="387">
        <f>F7*1.0975*0.28</f>
        <v>61.46</v>
      </c>
      <c r="G29" s="388"/>
      <c r="H29" s="121"/>
      <c r="I29" s="257"/>
      <c r="J29" s="336">
        <f>J7*1.0975*0.28</f>
        <v>30.73</v>
      </c>
      <c r="K29" s="400"/>
      <c r="L29" s="121"/>
      <c r="M29" s="121"/>
      <c r="N29" s="387">
        <f>N7/2000*0.33*20+N7/2000*0.67*30</f>
        <v>45.39</v>
      </c>
      <c r="O29" s="336"/>
      <c r="P29" s="387">
        <f>P7*1.0975*0.28</f>
        <v>26.1205</v>
      </c>
      <c r="Q29" s="388"/>
      <c r="R29" s="121"/>
      <c r="S29" s="257"/>
      <c r="T29" s="336">
        <f>T7*1.0975*0.28</f>
        <v>19.974499999999999</v>
      </c>
      <c r="U29" s="337"/>
      <c r="V29" s="101"/>
    </row>
    <row r="30" spans="1:22" x14ac:dyDescent="0.2">
      <c r="A30" s="106" t="s">
        <v>18</v>
      </c>
      <c r="B30" s="124"/>
      <c r="C30" s="121"/>
      <c r="D30" s="396">
        <f>D7/2000*3+D7/2000*355*0.01</f>
        <v>15.3925</v>
      </c>
      <c r="E30" s="320"/>
      <c r="F30" s="256"/>
      <c r="G30" s="257"/>
      <c r="H30" s="121"/>
      <c r="I30" s="257"/>
      <c r="J30" s="121"/>
      <c r="K30" s="122"/>
      <c r="L30" s="121"/>
      <c r="M30" s="121"/>
      <c r="N30" s="396">
        <f>N7/2000*3+N7/2000*355*0.01</f>
        <v>11.135</v>
      </c>
      <c r="O30" s="320"/>
      <c r="P30" s="256"/>
      <c r="Q30" s="257"/>
      <c r="R30" s="121"/>
      <c r="S30" s="257"/>
      <c r="T30" s="121"/>
      <c r="U30" s="125"/>
      <c r="V30" s="101"/>
    </row>
    <row r="31" spans="1:22" ht="13.5" thickBot="1" x14ac:dyDescent="0.25">
      <c r="A31" s="126" t="s">
        <v>159</v>
      </c>
      <c r="B31" s="331">
        <f t="shared" ref="B31:T31" si="1">SUM(B11:B30)</f>
        <v>534.42359492878791</v>
      </c>
      <c r="C31" s="330"/>
      <c r="D31" s="391">
        <f t="shared" si="1"/>
        <v>635.87335000000007</v>
      </c>
      <c r="E31" s="330"/>
      <c r="F31" s="391">
        <f t="shared" si="1"/>
        <v>665.75127499999996</v>
      </c>
      <c r="G31" s="392"/>
      <c r="H31" s="330">
        <f t="shared" si="1"/>
        <v>316.28847145000003</v>
      </c>
      <c r="I31" s="392"/>
      <c r="J31" s="330">
        <f t="shared" si="1"/>
        <v>347.50100000000003</v>
      </c>
      <c r="K31" s="386"/>
      <c r="L31" s="331">
        <f t="shared" si="1"/>
        <v>447.51518742424247</v>
      </c>
      <c r="M31" s="330"/>
      <c r="N31" s="391">
        <f t="shared" si="1"/>
        <v>546.16747499999997</v>
      </c>
      <c r="O31" s="330"/>
      <c r="P31" s="391">
        <f t="shared" si="1"/>
        <v>330.23412896249999</v>
      </c>
      <c r="Q31" s="392"/>
      <c r="R31" s="330">
        <f t="shared" si="1"/>
        <v>246.99462935</v>
      </c>
      <c r="S31" s="392"/>
      <c r="T31" s="330">
        <f t="shared" si="1"/>
        <v>235.37700926250002</v>
      </c>
      <c r="U31" s="334"/>
      <c r="V31" s="101"/>
    </row>
    <row r="32" spans="1:22" x14ac:dyDescent="0.2">
      <c r="A32" s="127" t="s">
        <v>165</v>
      </c>
      <c r="B32" s="361">
        <f t="shared" ref="B32:T32" si="2">B9-B31</f>
        <v>305.57640507121209</v>
      </c>
      <c r="C32" s="344"/>
      <c r="D32" s="389">
        <f t="shared" si="2"/>
        <v>304.12664999999993</v>
      </c>
      <c r="E32" s="344"/>
      <c r="F32" s="389">
        <f t="shared" si="2"/>
        <v>184.24872500000004</v>
      </c>
      <c r="G32" s="390"/>
      <c r="H32" s="344">
        <f t="shared" si="2"/>
        <v>268.71152854999997</v>
      </c>
      <c r="I32" s="390"/>
      <c r="J32" s="344">
        <f t="shared" si="2"/>
        <v>32.498999999999967</v>
      </c>
      <c r="K32" s="405"/>
      <c r="L32" s="361">
        <f t="shared" si="2"/>
        <v>77.48481257575753</v>
      </c>
      <c r="M32" s="344"/>
      <c r="N32" s="389">
        <f t="shared" si="2"/>
        <v>133.83252500000003</v>
      </c>
      <c r="O32" s="344"/>
      <c r="P32" s="389">
        <f t="shared" si="2"/>
        <v>31.015871037500006</v>
      </c>
      <c r="Q32" s="390"/>
      <c r="R32" s="344">
        <f t="shared" si="2"/>
        <v>45.505370650000003</v>
      </c>
      <c r="S32" s="390"/>
      <c r="T32" s="344">
        <f t="shared" si="2"/>
        <v>11.622990737499975</v>
      </c>
      <c r="U32" s="345"/>
      <c r="V32" s="101"/>
    </row>
    <row r="33" spans="1:34" x14ac:dyDescent="0.2">
      <c r="A33" s="128" t="s">
        <v>125</v>
      </c>
      <c r="B33" s="129">
        <f>B31/B7</f>
        <v>0.4453529957739899</v>
      </c>
      <c r="C33" s="130" t="s">
        <v>161</v>
      </c>
      <c r="D33" s="242">
        <f>D31/D7*2000</f>
        <v>270.58440425531916</v>
      </c>
      <c r="E33" s="130" t="s">
        <v>162</v>
      </c>
      <c r="F33" s="243">
        <f>F31/F7</f>
        <v>3.3287563749999998</v>
      </c>
      <c r="G33" s="241" t="s">
        <v>164</v>
      </c>
      <c r="H33" s="131">
        <f>H31/H7</f>
        <v>5.271474524166667</v>
      </c>
      <c r="I33" s="241" t="s">
        <v>164</v>
      </c>
      <c r="J33" s="131">
        <f>J31/J7</f>
        <v>3.4750100000000002</v>
      </c>
      <c r="K33" s="132" t="s">
        <v>164</v>
      </c>
      <c r="L33" s="131">
        <f>L31/L7</f>
        <v>0.59668691656565664</v>
      </c>
      <c r="M33" s="130" t="s">
        <v>161</v>
      </c>
      <c r="N33" s="263">
        <f>N31/N7*2000</f>
        <v>321.27498529411764</v>
      </c>
      <c r="O33" s="130" t="s">
        <v>162</v>
      </c>
      <c r="P33" s="243">
        <f>P31/P7</f>
        <v>3.8851073995588234</v>
      </c>
      <c r="Q33" s="241" t="s">
        <v>164</v>
      </c>
      <c r="R33" s="131">
        <f>R31/R7</f>
        <v>8.2331543116666666</v>
      </c>
      <c r="S33" s="241" t="s">
        <v>164</v>
      </c>
      <c r="T33" s="131">
        <f>T31/T7</f>
        <v>3.6211847578846159</v>
      </c>
      <c r="U33" s="133" t="s">
        <v>164</v>
      </c>
      <c r="V33" s="101"/>
    </row>
    <row r="34" spans="1:34" x14ac:dyDescent="0.2">
      <c r="A34" s="109" t="s">
        <v>166</v>
      </c>
      <c r="B34" s="124"/>
      <c r="C34" s="121"/>
      <c r="D34" s="256"/>
      <c r="E34" s="121"/>
      <c r="F34" s="256"/>
      <c r="G34" s="257"/>
      <c r="H34" s="121"/>
      <c r="I34" s="257"/>
      <c r="J34" s="121"/>
      <c r="K34" s="122"/>
      <c r="L34" s="121"/>
      <c r="M34" s="121"/>
      <c r="N34" s="256"/>
      <c r="O34" s="121"/>
      <c r="P34" s="256"/>
      <c r="Q34" s="257"/>
      <c r="R34" s="121"/>
      <c r="S34" s="257"/>
      <c r="T34" s="121"/>
      <c r="U34" s="123"/>
      <c r="V34" s="101"/>
    </row>
    <row r="35" spans="1:34" x14ac:dyDescent="0.2">
      <c r="A35" s="106" t="s">
        <v>19</v>
      </c>
      <c r="B35" s="317">
        <f>1.05*(34.2+10.37+57.18)</f>
        <v>106.83750000000001</v>
      </c>
      <c r="C35" s="318"/>
      <c r="D35" s="305">
        <f>28.76+79.62</f>
        <v>108.38000000000001</v>
      </c>
      <c r="E35" s="318"/>
      <c r="F35" s="305">
        <f>21.41+36.46</f>
        <v>57.870000000000005</v>
      </c>
      <c r="G35" s="306"/>
      <c r="H35" s="318">
        <f>19.15+33.46</f>
        <v>52.61</v>
      </c>
      <c r="I35" s="306"/>
      <c r="J35" s="318">
        <f>21.41+33.55</f>
        <v>54.959999999999994</v>
      </c>
      <c r="K35" s="325"/>
      <c r="L35" s="317">
        <f>(34.2+10.75+50.18)*1.05</f>
        <v>99.886499999999998</v>
      </c>
      <c r="M35" s="318"/>
      <c r="N35" s="305">
        <f>28.76+79.62</f>
        <v>108.38000000000001</v>
      </c>
      <c r="O35" s="318"/>
      <c r="P35" s="305">
        <f>21.41+36.46</f>
        <v>57.870000000000005</v>
      </c>
      <c r="Q35" s="306"/>
      <c r="R35" s="318">
        <f>19.15+33.46</f>
        <v>52.61</v>
      </c>
      <c r="S35" s="306"/>
      <c r="T35" s="318">
        <f>21.41+33.55</f>
        <v>54.959999999999994</v>
      </c>
      <c r="U35" s="325"/>
      <c r="V35" s="101"/>
    </row>
    <row r="36" spans="1:34" x14ac:dyDescent="0.2">
      <c r="A36" s="106" t="s">
        <v>12</v>
      </c>
      <c r="B36" s="317">
        <f>Conventional!B35</f>
        <v>125</v>
      </c>
      <c r="C36" s="318"/>
      <c r="D36" s="305">
        <f>Conventional!D35</f>
        <v>125</v>
      </c>
      <c r="E36" s="318"/>
      <c r="F36" s="305">
        <f>Conventional!F35</f>
        <v>125</v>
      </c>
      <c r="G36" s="306"/>
      <c r="H36" s="318">
        <f>Conventional!H35</f>
        <v>125</v>
      </c>
      <c r="I36" s="306"/>
      <c r="J36" s="318">
        <f>Conventional!J35</f>
        <v>125</v>
      </c>
      <c r="K36" s="399"/>
      <c r="L36" s="117"/>
      <c r="M36" s="117"/>
      <c r="N36" s="254"/>
      <c r="O36" s="117"/>
      <c r="P36" s="254"/>
      <c r="Q36" s="255"/>
      <c r="R36" s="117"/>
      <c r="S36" s="255"/>
      <c r="T36" s="117"/>
      <c r="U36" s="119"/>
      <c r="V36" s="101"/>
    </row>
    <row r="37" spans="1:34" x14ac:dyDescent="0.2">
      <c r="A37" s="106" t="s">
        <v>20</v>
      </c>
      <c r="B37" s="120"/>
      <c r="C37" s="117"/>
      <c r="D37" s="254"/>
      <c r="E37" s="117"/>
      <c r="F37" s="254"/>
      <c r="G37" s="255"/>
      <c r="H37" s="117"/>
      <c r="I37" s="255"/>
      <c r="J37" s="117"/>
      <c r="K37" s="118"/>
      <c r="L37" s="117"/>
      <c r="M37" s="117"/>
      <c r="N37" s="254"/>
      <c r="O37" s="117"/>
      <c r="P37" s="254"/>
      <c r="Q37" s="255"/>
      <c r="R37" s="117"/>
      <c r="S37" s="255"/>
      <c r="T37" s="117"/>
      <c r="U37" s="119"/>
      <c r="V37" s="101"/>
    </row>
    <row r="38" spans="1:34" x14ac:dyDescent="0.2">
      <c r="A38" s="106" t="s">
        <v>21</v>
      </c>
      <c r="B38" s="319">
        <f>0.05*B31</f>
        <v>26.721179746439397</v>
      </c>
      <c r="C38" s="320"/>
      <c r="D38" s="396">
        <f>0.05*D31</f>
        <v>31.793667500000005</v>
      </c>
      <c r="E38" s="320"/>
      <c r="F38" s="396">
        <f>0.05*F31</f>
        <v>33.287563749999997</v>
      </c>
      <c r="G38" s="401"/>
      <c r="H38" s="320">
        <f>0.05*H31</f>
        <v>15.814423572500003</v>
      </c>
      <c r="I38" s="401"/>
      <c r="J38" s="320">
        <f>0.05*J31</f>
        <v>17.375050000000002</v>
      </c>
      <c r="K38" s="403"/>
      <c r="L38" s="319">
        <f>0.05*L31</f>
        <v>22.375759371212126</v>
      </c>
      <c r="M38" s="320"/>
      <c r="N38" s="396">
        <f>0.05*N31</f>
        <v>27.308373750000001</v>
      </c>
      <c r="O38" s="320"/>
      <c r="P38" s="396">
        <f>0.05*P31</f>
        <v>16.511706448125</v>
      </c>
      <c r="Q38" s="401"/>
      <c r="R38" s="320">
        <f>0.05*R31</f>
        <v>12.3497314675</v>
      </c>
      <c r="S38" s="401"/>
      <c r="T38" s="320">
        <f>0.05*T31</f>
        <v>11.768850463125002</v>
      </c>
      <c r="U38" s="329"/>
      <c r="V38" s="101"/>
    </row>
    <row r="39" spans="1:34" x14ac:dyDescent="0.2">
      <c r="A39" s="134" t="s">
        <v>167</v>
      </c>
      <c r="B39" s="321">
        <f t="shared" ref="B39:T39" si="3">SUM(B35:B38)</f>
        <v>258.5586797464394</v>
      </c>
      <c r="C39" s="322"/>
      <c r="D39" s="394">
        <f t="shared" si="3"/>
        <v>265.17366750000002</v>
      </c>
      <c r="E39" s="322"/>
      <c r="F39" s="394">
        <f t="shared" si="3"/>
        <v>216.15756375000001</v>
      </c>
      <c r="G39" s="402"/>
      <c r="H39" s="322">
        <f t="shared" si="3"/>
        <v>193.42442357250002</v>
      </c>
      <c r="I39" s="402"/>
      <c r="J39" s="322">
        <f t="shared" si="3"/>
        <v>197.33504999999997</v>
      </c>
      <c r="K39" s="404"/>
      <c r="L39" s="321">
        <f t="shared" si="3"/>
        <v>122.26225937121212</v>
      </c>
      <c r="M39" s="322"/>
      <c r="N39" s="394">
        <f t="shared" si="3"/>
        <v>135.68837375000001</v>
      </c>
      <c r="O39" s="322"/>
      <c r="P39" s="394">
        <f t="shared" si="3"/>
        <v>74.381706448125001</v>
      </c>
      <c r="Q39" s="402"/>
      <c r="R39" s="322">
        <f t="shared" si="3"/>
        <v>64.959731467500006</v>
      </c>
      <c r="S39" s="402"/>
      <c r="T39" s="322">
        <f t="shared" si="3"/>
        <v>66.728850463124999</v>
      </c>
      <c r="U39" s="328"/>
      <c r="V39" s="101"/>
    </row>
    <row r="40" spans="1:34" x14ac:dyDescent="0.2">
      <c r="A40" s="135"/>
      <c r="B40" s="136"/>
      <c r="C40" s="137"/>
      <c r="D40" s="258"/>
      <c r="E40" s="137"/>
      <c r="F40" s="258"/>
      <c r="G40" s="259"/>
      <c r="H40" s="137"/>
      <c r="I40" s="259"/>
      <c r="J40" s="137"/>
      <c r="K40" s="138"/>
      <c r="L40" s="137"/>
      <c r="M40" s="137"/>
      <c r="N40" s="258"/>
      <c r="O40" s="137"/>
      <c r="P40" s="258"/>
      <c r="Q40" s="259"/>
      <c r="R40" s="137"/>
      <c r="S40" s="259"/>
      <c r="T40" s="137"/>
      <c r="U40" s="139"/>
      <c r="V40" s="101"/>
    </row>
    <row r="41" spans="1:34" ht="13.5" thickBot="1" x14ac:dyDescent="0.25">
      <c r="A41" s="140" t="s">
        <v>168</v>
      </c>
      <c r="B41" s="331">
        <f>B39+B31</f>
        <v>792.98227467522725</v>
      </c>
      <c r="C41" s="330"/>
      <c r="D41" s="391">
        <f>D39+D31</f>
        <v>901.04701750000004</v>
      </c>
      <c r="E41" s="330"/>
      <c r="F41" s="391">
        <f>F39+F31</f>
        <v>881.90883874999997</v>
      </c>
      <c r="G41" s="392"/>
      <c r="H41" s="330">
        <f>H39+H31</f>
        <v>509.71289502250005</v>
      </c>
      <c r="I41" s="392"/>
      <c r="J41" s="330">
        <f>J39+J31</f>
        <v>544.83605</v>
      </c>
      <c r="K41" s="386"/>
      <c r="L41" s="331">
        <f>L39+L31</f>
        <v>569.77744679545458</v>
      </c>
      <c r="M41" s="330"/>
      <c r="N41" s="391">
        <f>N39+N31</f>
        <v>681.85584874999995</v>
      </c>
      <c r="O41" s="330"/>
      <c r="P41" s="391">
        <f>P39+P31</f>
        <v>404.61583541062498</v>
      </c>
      <c r="Q41" s="392"/>
      <c r="R41" s="330">
        <f>R39+R31</f>
        <v>311.9543608175</v>
      </c>
      <c r="S41" s="392"/>
      <c r="T41" s="330">
        <f>T39+T31</f>
        <v>302.10585972562501</v>
      </c>
      <c r="U41" s="334"/>
      <c r="V41" s="101"/>
    </row>
    <row r="42" spans="1:34" ht="13.5" thickBot="1" x14ac:dyDescent="0.25">
      <c r="A42" s="141" t="s">
        <v>169</v>
      </c>
      <c r="B42" s="323">
        <f>B9-B41</f>
        <v>47.017725324772755</v>
      </c>
      <c r="C42" s="324"/>
      <c r="D42" s="397">
        <f>D9-D41</f>
        <v>38.952982499999962</v>
      </c>
      <c r="E42" s="324"/>
      <c r="F42" s="397">
        <f>F9-F41</f>
        <v>-31.908838749999973</v>
      </c>
      <c r="G42" s="398"/>
      <c r="H42" s="324">
        <f>H9-H41</f>
        <v>75.287104977499951</v>
      </c>
      <c r="I42" s="398"/>
      <c r="J42" s="324">
        <f>J9-J41</f>
        <v>-164.83605</v>
      </c>
      <c r="K42" s="385"/>
      <c r="L42" s="323">
        <f>L9-L41</f>
        <v>-44.77744679545458</v>
      </c>
      <c r="M42" s="324"/>
      <c r="N42" s="397">
        <f>N9-N41</f>
        <v>-1.8558487499999501</v>
      </c>
      <c r="O42" s="324"/>
      <c r="P42" s="397">
        <f>P9-P41</f>
        <v>-43.365835410624982</v>
      </c>
      <c r="Q42" s="398"/>
      <c r="R42" s="324">
        <f>R9-R41</f>
        <v>-19.454360817500003</v>
      </c>
      <c r="S42" s="398"/>
      <c r="T42" s="324">
        <f>T9-T41</f>
        <v>-55.10585972562501</v>
      </c>
      <c r="U42" s="335"/>
      <c r="V42" s="101"/>
    </row>
    <row r="43" spans="1:34" ht="13.5" thickTop="1" x14ac:dyDescent="0.2">
      <c r="A43" s="106"/>
      <c r="B43" s="142"/>
      <c r="C43" s="143"/>
      <c r="D43" s="260"/>
      <c r="E43" s="143"/>
      <c r="F43" s="260"/>
      <c r="G43" s="261"/>
      <c r="H43" s="143"/>
      <c r="I43" s="261"/>
      <c r="J43" s="143"/>
      <c r="K43" s="144"/>
      <c r="L43" s="143"/>
      <c r="M43" s="143"/>
      <c r="N43" s="260"/>
      <c r="O43" s="143"/>
      <c r="P43" s="260"/>
      <c r="Q43" s="261"/>
      <c r="R43" s="143"/>
      <c r="S43" s="261"/>
      <c r="T43" s="143"/>
      <c r="U43" s="145"/>
      <c r="V43" s="101"/>
    </row>
    <row r="44" spans="1:34" x14ac:dyDescent="0.2">
      <c r="A44" s="128" t="s">
        <v>34</v>
      </c>
      <c r="B44" s="146">
        <f>B41/B7</f>
        <v>0.66081856222935609</v>
      </c>
      <c r="C44" s="147" t="s">
        <v>161</v>
      </c>
      <c r="D44" s="245">
        <f>D41/D7*2000</f>
        <v>383.42426276595751</v>
      </c>
      <c r="E44" s="130" t="s">
        <v>162</v>
      </c>
      <c r="F44" s="246">
        <f>F41/F7</f>
        <v>4.4095441937499995</v>
      </c>
      <c r="G44" s="241" t="s">
        <v>164</v>
      </c>
      <c r="H44" s="148">
        <f>H41/H7</f>
        <v>8.4952149170416682</v>
      </c>
      <c r="I44" s="241" t="s">
        <v>164</v>
      </c>
      <c r="J44" s="148">
        <f>J41/J7</f>
        <v>5.4483604999999997</v>
      </c>
      <c r="K44" s="132" t="s">
        <v>164</v>
      </c>
      <c r="L44" s="148">
        <f>L41/L7</f>
        <v>0.75970326239393948</v>
      </c>
      <c r="M44" s="147" t="s">
        <v>161</v>
      </c>
      <c r="N44" s="245">
        <f>N41/N7*2000</f>
        <v>401.09167573529407</v>
      </c>
      <c r="O44" s="130" t="s">
        <v>162</v>
      </c>
      <c r="P44" s="246">
        <f>P41/P7</f>
        <v>4.7601862989485291</v>
      </c>
      <c r="Q44" s="241" t="s">
        <v>164</v>
      </c>
      <c r="R44" s="148">
        <f>R41/R7</f>
        <v>10.398478693916667</v>
      </c>
      <c r="S44" s="241" t="s">
        <v>164</v>
      </c>
      <c r="T44" s="148">
        <f>T41/T7</f>
        <v>4.6477824573173079</v>
      </c>
      <c r="U44" s="133" t="s">
        <v>164</v>
      </c>
      <c r="V44" s="101"/>
    </row>
    <row r="45" spans="1:34" x14ac:dyDescent="0.2">
      <c r="A45" s="149" t="s">
        <v>170</v>
      </c>
      <c r="B45" s="150">
        <f>B41/B8</f>
        <v>1132.8318209646104</v>
      </c>
      <c r="C45" s="151" t="s">
        <v>160</v>
      </c>
      <c r="D45" s="248">
        <f>D41/D8*2000</f>
        <v>4505.2350875000002</v>
      </c>
      <c r="E45" s="151" t="s">
        <v>160</v>
      </c>
      <c r="F45" s="249">
        <f>F41/F8</f>
        <v>207.50796205882352</v>
      </c>
      <c r="G45" s="241" t="s">
        <v>163</v>
      </c>
      <c r="H45" s="152">
        <f>H41/H8</f>
        <v>52.278245643333335</v>
      </c>
      <c r="I45" s="241" t="s">
        <v>163</v>
      </c>
      <c r="J45" s="152">
        <f>J41/J8</f>
        <v>143.37790789473684</v>
      </c>
      <c r="K45" s="132" t="s">
        <v>163</v>
      </c>
      <c r="L45" s="152">
        <f>L41/L8</f>
        <v>813.96778113636378</v>
      </c>
      <c r="M45" s="151" t="s">
        <v>160</v>
      </c>
      <c r="N45" s="248">
        <f>N41/N8*2000</f>
        <v>3409.2792437499998</v>
      </c>
      <c r="O45" s="151" t="s">
        <v>160</v>
      </c>
      <c r="P45" s="249">
        <f>P41/P8</f>
        <v>95.203725978970581</v>
      </c>
      <c r="Q45" s="241" t="s">
        <v>163</v>
      </c>
      <c r="R45" s="152">
        <f>R41/R8</f>
        <v>31.99531905820513</v>
      </c>
      <c r="S45" s="241" t="s">
        <v>163</v>
      </c>
      <c r="T45" s="152">
        <f>T41/T8</f>
        <v>79.501542033059224</v>
      </c>
      <c r="U45" s="133" t="s">
        <v>163</v>
      </c>
      <c r="V45" s="101"/>
    </row>
    <row r="46" spans="1:34" s="155" customFormat="1" ht="12" x14ac:dyDescent="0.2">
      <c r="A46" s="395" t="s">
        <v>180</v>
      </c>
      <c r="B46" s="395"/>
      <c r="C46" s="395"/>
      <c r="D46" s="395"/>
      <c r="E46" s="395"/>
      <c r="F46" s="154"/>
      <c r="G46" s="154"/>
      <c r="H46" s="154"/>
      <c r="I46" s="153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98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s="96" customFormat="1" ht="12" x14ac:dyDescent="0.2">
      <c r="A47" s="98" t="s">
        <v>181</v>
      </c>
      <c r="B47" s="98"/>
      <c r="C47" s="156" t="s">
        <v>171</v>
      </c>
      <c r="D47" s="239">
        <f>Conventional!D45</f>
        <v>0.62</v>
      </c>
      <c r="E47" s="157" t="s">
        <v>65</v>
      </c>
      <c r="F47" s="250">
        <f>Conventional!F45</f>
        <v>0.43</v>
      </c>
      <c r="G47" s="157" t="s">
        <v>66</v>
      </c>
      <c r="H47" s="250">
        <f>Conventional!H45</f>
        <v>0.41</v>
      </c>
      <c r="I47" s="95"/>
      <c r="J47" s="250"/>
      <c r="K47" s="239"/>
      <c r="L47" s="95"/>
      <c r="M47" s="95"/>
      <c r="N47" s="250"/>
      <c r="O47" s="239"/>
      <c r="P47" s="98"/>
      <c r="Q47" s="98"/>
      <c r="R47" s="98"/>
      <c r="S47" s="98"/>
      <c r="T47" s="98"/>
      <c r="U47" s="98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393" t="str">
        <f>Conventional!A47</f>
        <v>*** Average of diesel and electric irrigation application costs.  Electric is estimated at $7/appl and diesel is estimated at $12.80/appl when diesel cost $2.70/gal.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158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159" t="s">
        <v>154</v>
      </c>
      <c r="B49" s="160">
        <f>Conventional!B46</f>
        <v>2.7</v>
      </c>
      <c r="C49" s="393" t="s">
        <v>67</v>
      </c>
      <c r="D49" s="393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101" customFormat="1" x14ac:dyDescent="0.2">
      <c r="A50" s="95"/>
    </row>
    <row r="51" spans="1:34" s="101" customFormat="1" x14ac:dyDescent="0.2">
      <c r="A51" s="95"/>
    </row>
    <row r="52" spans="1:34" s="101" customFormat="1" x14ac:dyDescent="0.2">
      <c r="A52" s="95"/>
    </row>
    <row r="53" spans="1:34" s="101" customFormat="1" x14ac:dyDescent="0.2">
      <c r="A53" s="95"/>
    </row>
    <row r="54" spans="1:34" s="101" customFormat="1" x14ac:dyDescent="0.2">
      <c r="A54" s="95"/>
    </row>
    <row r="55" spans="1:34" s="101" customFormat="1" x14ac:dyDescent="0.2">
      <c r="A55" s="95"/>
    </row>
    <row r="56" spans="1:34" s="101" customFormat="1" x14ac:dyDescent="0.2">
      <c r="A56" s="95"/>
    </row>
    <row r="57" spans="1:34" s="101" customFormat="1" x14ac:dyDescent="0.2">
      <c r="A57" s="95"/>
    </row>
    <row r="58" spans="1:34" s="101" customFormat="1" x14ac:dyDescent="0.2">
      <c r="A58" s="95"/>
    </row>
    <row r="59" spans="1:34" s="101" customFormat="1" x14ac:dyDescent="0.2">
      <c r="A59" s="95"/>
    </row>
    <row r="60" spans="1:34" s="101" customFormat="1" x14ac:dyDescent="0.2">
      <c r="A60" s="95"/>
    </row>
    <row r="61" spans="1:34" s="101" customFormat="1" x14ac:dyDescent="0.2">
      <c r="A61" s="95"/>
    </row>
    <row r="62" spans="1:34" s="101" customFormat="1" x14ac:dyDescent="0.2">
      <c r="A62" s="95"/>
    </row>
    <row r="63" spans="1:34" s="101" customFormat="1" x14ac:dyDescent="0.2">
      <c r="A63" s="95"/>
    </row>
    <row r="64" spans="1:34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</sheetData>
  <sheetProtection sheet="1" objects="1" scenarios="1"/>
  <mergeCells count="218">
    <mergeCell ref="D19:E19"/>
    <mergeCell ref="N19:O19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H14:I14"/>
    <mergeCell ref="F14:G14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L19:M19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L21:M21"/>
    <mergeCell ref="L23:M23"/>
    <mergeCell ref="D24:E24"/>
    <mergeCell ref="D23:E23"/>
    <mergeCell ref="D22:E22"/>
    <mergeCell ref="D21:E21"/>
    <mergeCell ref="D20:E20"/>
    <mergeCell ref="B23:C23"/>
    <mergeCell ref="B24:C24"/>
    <mergeCell ref="H20:I20"/>
    <mergeCell ref="H21:I21"/>
    <mergeCell ref="H22:I22"/>
    <mergeCell ref="H23:I23"/>
    <mergeCell ref="H24:I24"/>
    <mergeCell ref="B21:C21"/>
    <mergeCell ref="B22:C22"/>
    <mergeCell ref="R41:S41"/>
    <mergeCell ref="R42:S42"/>
    <mergeCell ref="T41:U41"/>
    <mergeCell ref="T42:U42"/>
    <mergeCell ref="L42:M42"/>
    <mergeCell ref="N41:O41"/>
    <mergeCell ref="N42:O42"/>
    <mergeCell ref="P41:Q41"/>
    <mergeCell ref="P42:Q42"/>
    <mergeCell ref="L41:M41"/>
    <mergeCell ref="T38:U38"/>
    <mergeCell ref="R38:S38"/>
    <mergeCell ref="R39:S39"/>
    <mergeCell ref="P38:Q38"/>
    <mergeCell ref="P39:Q39"/>
    <mergeCell ref="J38:K38"/>
    <mergeCell ref="J39:K39"/>
    <mergeCell ref="F31:G31"/>
    <mergeCell ref="B38:C38"/>
    <mergeCell ref="B39:C39"/>
    <mergeCell ref="L31:M31"/>
    <mergeCell ref="L32:M32"/>
    <mergeCell ref="J35:K35"/>
    <mergeCell ref="T39:U39"/>
    <mergeCell ref="H38:I38"/>
    <mergeCell ref="H39:I39"/>
    <mergeCell ref="F38:G38"/>
    <mergeCell ref="F39:G39"/>
    <mergeCell ref="D38:E38"/>
    <mergeCell ref="J36:K36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5:Q35"/>
    <mergeCell ref="R35:S35"/>
    <mergeCell ref="T35:U35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N38:O38"/>
    <mergeCell ref="N39:O39"/>
    <mergeCell ref="L38:M38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5:O35"/>
    <mergeCell ref="J27:K27"/>
    <mergeCell ref="J29:K29"/>
    <mergeCell ref="L39:M39"/>
    <mergeCell ref="L27:M27"/>
    <mergeCell ref="L28:M28"/>
    <mergeCell ref="L35:M35"/>
    <mergeCell ref="C49:D49"/>
    <mergeCell ref="D36:E36"/>
    <mergeCell ref="D35:E35"/>
    <mergeCell ref="D31:E31"/>
    <mergeCell ref="D32:E32"/>
    <mergeCell ref="B28:C28"/>
    <mergeCell ref="D39:E39"/>
    <mergeCell ref="B41:C41"/>
    <mergeCell ref="B27:C27"/>
    <mergeCell ref="A46:E46"/>
    <mergeCell ref="D29:E29"/>
    <mergeCell ref="D27:E27"/>
    <mergeCell ref="D30:E30"/>
    <mergeCell ref="B42:C42"/>
    <mergeCell ref="D41:E41"/>
    <mergeCell ref="D42:E42"/>
    <mergeCell ref="B31:C31"/>
    <mergeCell ref="B32:C32"/>
    <mergeCell ref="B35:C35"/>
    <mergeCell ref="B36:C36"/>
    <mergeCell ref="A48:T48"/>
    <mergeCell ref="F42:G42"/>
    <mergeCell ref="H41:I41"/>
    <mergeCell ref="H42:I42"/>
    <mergeCell ref="J42:K42"/>
    <mergeCell ref="H35:I35"/>
    <mergeCell ref="J41:K41"/>
    <mergeCell ref="H36:I36"/>
    <mergeCell ref="F27:G27"/>
    <mergeCell ref="F29:G29"/>
    <mergeCell ref="H27:I27"/>
    <mergeCell ref="F21:G21"/>
    <mergeCell ref="F22:G22"/>
    <mergeCell ref="F23:G23"/>
    <mergeCell ref="F24:G24"/>
    <mergeCell ref="F35:G35"/>
    <mergeCell ref="F36:G36"/>
    <mergeCell ref="F32:G32"/>
    <mergeCell ref="F41:G41"/>
  </mergeCells>
  <phoneticPr fontId="2" type="noConversion"/>
  <conditionalFormatting sqref="B42 B32 D32 D42 F42 H42 J42 L42 N42 P42 R42 T42 L32 J32 H32 F32 P32 R32 T32 N32">
    <cfRule type="cellIs" dxfId="4" priority="1" stopIfTrue="1" operator="lessThan">
      <formula>0</formula>
    </cfRule>
  </conditionalFormatting>
  <printOptions horizontalCentered="1" verticalCentered="1"/>
  <pageMargins left="0.5" right="0.5" top="0.5" bottom="0.5" header="0" footer="0"/>
  <pageSetup scale="88" orientation="landscape" r:id="rId1"/>
  <headerFooter>
    <oddFooter>&amp;L&amp;G</oddFooter>
  </headerFooter>
  <ignoredErrors>
    <ignoredError sqref="D9 N9 H30:H32 N44:N45 H28 D44:D45 F44:F45 H44:H45 J44:J45 L44:L45" formula="1"/>
    <ignoredError sqref="D33 N33" formula="1" unlockedFormula="1"/>
    <ignoredError sqref="D37 B37 N28 T36:T37 F19 D13 T22 F13 L22 D34 L8 J19 D28 N31:N32 D31:D32 F37 N34 T13 T19 J13 P36:P37 T8 F8 H13 H37 H19 H8 J37 J8 L36:L37 N13 N36:N37 P8 P19 P13 P22 R8 R19 R13 R22 R36:R37 R17 P17 H17 T17 J17 F17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zoomScaleNormal="100" workbookViewId="0">
      <selection activeCell="A62" sqref="A62"/>
    </sheetView>
  </sheetViews>
  <sheetFormatPr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416" t="s">
        <v>85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1:20" x14ac:dyDescent="0.2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2">
      <c r="A3" s="1" t="s">
        <v>70</v>
      </c>
      <c r="B3" s="4">
        <f>Conventional!$B$30</f>
        <v>517.16891826316294</v>
      </c>
      <c r="C3" s="4">
        <f>Conventional!$D$30</f>
        <v>635.63587500000006</v>
      </c>
      <c r="D3" s="4">
        <f>Conventional!$F$30</f>
        <v>657.15054999999995</v>
      </c>
      <c r="E3" s="4">
        <f>Conventional!$H$30</f>
        <v>290.24882145000004</v>
      </c>
    </row>
    <row r="4" spans="1:20" x14ac:dyDescent="0.2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417" t="s">
        <v>74</v>
      </c>
      <c r="C5" s="417"/>
      <c r="D5" s="417"/>
      <c r="E5" s="417"/>
      <c r="F5" s="29"/>
      <c r="G5" s="418" t="s">
        <v>75</v>
      </c>
      <c r="H5" s="418"/>
      <c r="I5" s="418"/>
      <c r="J5" s="418"/>
      <c r="K5" s="29"/>
      <c r="L5" s="419" t="s">
        <v>76</v>
      </c>
      <c r="M5" s="419"/>
      <c r="N5" s="419"/>
      <c r="O5" s="419"/>
      <c r="P5" s="29"/>
      <c r="Q5" s="420" t="s">
        <v>77</v>
      </c>
      <c r="R5" s="420"/>
      <c r="S5" s="420"/>
      <c r="T5" s="420"/>
    </row>
    <row r="6" spans="1:20" s="8" customFormat="1" ht="25.5" x14ac:dyDescent="0.2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2">
      <c r="B7" s="18">
        <f t="shared" ref="B7:B12" si="0">B8-0.025</f>
        <v>0.5249999999999998</v>
      </c>
      <c r="C7" s="19">
        <f t="shared" ref="C7:C21" si="1">(((B7*$B$4)-$B$3+$C$3)/$C$4)*2000</f>
        <v>318.49657733482422</v>
      </c>
      <c r="D7" s="18">
        <f t="shared" ref="D7:D21" si="2">(((B7*$B$4)-$B$3+$D$3)/$D$4)</f>
        <v>3.8499081586841841</v>
      </c>
      <c r="E7" s="18">
        <f>(((B7*$B$4)-$B$3+$E$3)/$E$4)</f>
        <v>6.717998386447281</v>
      </c>
      <c r="G7" s="20">
        <f>(((H7*$C$4/2000)-$C$3+$B$3)/$B$4)</f>
        <v>0.54752753605263571</v>
      </c>
      <c r="H7" s="21">
        <f t="shared" ref="H7:H12" si="3">H8-10</f>
        <v>330</v>
      </c>
      <c r="I7" s="20">
        <f>(((H7*$C$4/2000)-$C$3+$D$3)/$D$4)</f>
        <v>3.9850733749999994</v>
      </c>
      <c r="J7" s="20">
        <f>(((H7*$C$4/2000)-$C$3+$E$3)/$E$4)</f>
        <v>7.1685491074999996</v>
      </c>
      <c r="L7" s="13">
        <f>(((N7*$D$4)-$D$3+$B$3)/$B$4)</f>
        <v>0.41668197355263581</v>
      </c>
      <c r="M7" s="14">
        <f>(((N7*$D$4)-$D$3+$C$3)/$C$4)*2000</f>
        <v>263.1852446808511</v>
      </c>
      <c r="N7" s="13">
        <f t="shared" ref="N7:N12" si="4">N8-0.15</f>
        <v>3.2</v>
      </c>
      <c r="O7" s="13">
        <f>(((N7*$D$4)-$D$3+$E$3)/$E$4)</f>
        <v>4.5516378575000012</v>
      </c>
      <c r="Q7" s="9">
        <f>(((T7*$E$4)-$E$3+$B$3)/$B$4)</f>
        <v>0.55410008067763594</v>
      </c>
      <c r="R7" s="10">
        <f>(((T7*$E$4)-$E$3+$C$3)/$C$4)*2000</f>
        <v>333.35619300000008</v>
      </c>
      <c r="S7" s="9">
        <f>(((T7*$E$4)-$E$3+$D$3)/$D$4)</f>
        <v>4.0245086427500008</v>
      </c>
      <c r="T7" s="9">
        <f t="shared" ref="T7:T12" si="5">T8-0.35</f>
        <v>7.3000000000000025</v>
      </c>
    </row>
    <row r="8" spans="1:20" x14ac:dyDescent="0.2">
      <c r="B8" s="18">
        <f t="shared" si="0"/>
        <v>0.54999999999999982</v>
      </c>
      <c r="C8" s="19">
        <f t="shared" si="1"/>
        <v>331.26253478163272</v>
      </c>
      <c r="D8" s="18">
        <f t="shared" si="2"/>
        <v>3.999908158684184</v>
      </c>
      <c r="E8" s="18">
        <f>(((B8*$B$4)-$B$3+$E$3)/$E$4)</f>
        <v>7.217998386447281</v>
      </c>
      <c r="G8" s="20">
        <f t="shared" ref="G8:G21" si="6">(((H8*$C$4/2000)-$C$3+$B$3)/$B$4)</f>
        <v>0.56711086938596911</v>
      </c>
      <c r="H8" s="21">
        <f t="shared" si="3"/>
        <v>340</v>
      </c>
      <c r="I8" s="20">
        <f t="shared" ref="I8:I21" si="7">(((H8*$C$4/2000)-$C$3+$D$3)/$D$4)</f>
        <v>4.1025733749999995</v>
      </c>
      <c r="J8" s="20">
        <f t="shared" ref="J8:J21" si="8">(((H8*$C$4/2000)-$C$3+$E$3)/$E$4)</f>
        <v>7.5602157741666662</v>
      </c>
      <c r="L8" s="13">
        <f t="shared" ref="L8:L21" si="9">(((N8*$D$4)-$D$3+$B$3)/$B$4)</f>
        <v>0.44168197355263583</v>
      </c>
      <c r="M8" s="14">
        <f t="shared" ref="M8:M21" si="10">(((N8*$D$4)-$D$3+$C$3)/$C$4)*2000</f>
        <v>275.9512021276596</v>
      </c>
      <c r="N8" s="13">
        <f t="shared" si="4"/>
        <v>3.35</v>
      </c>
      <c r="O8" s="13">
        <f t="shared" ref="O8:O21" si="11">(((N8*$D$4)-$D$3+$E$3)/$E$4)</f>
        <v>5.0516378575000012</v>
      </c>
      <c r="Q8" s="9">
        <f t="shared" ref="Q8:Q21" si="12">(((T8*$E$4)-$E$3+$B$3)/$B$4)</f>
        <v>0.57160008067763579</v>
      </c>
      <c r="R8" s="10">
        <f t="shared" ref="R8:R21" si="13">(((T8*$E$4)-$E$3+$C$3)/$C$4)*2000</f>
        <v>342.29236321276602</v>
      </c>
      <c r="S8" s="9">
        <f t="shared" ref="S8:S21" si="14">(((T8*$E$4)-$E$3+$D$3)/$D$4)</f>
        <v>4.1295086427500003</v>
      </c>
      <c r="T8" s="9">
        <f t="shared" si="5"/>
        <v>7.6500000000000021</v>
      </c>
    </row>
    <row r="9" spans="1:20" x14ac:dyDescent="0.2">
      <c r="B9" s="18">
        <f t="shared" si="0"/>
        <v>0.57499999999999984</v>
      </c>
      <c r="C9" s="19">
        <f t="shared" si="1"/>
        <v>344.02849222844122</v>
      </c>
      <c r="D9" s="18">
        <f t="shared" si="2"/>
        <v>4.1499081586841839</v>
      </c>
      <c r="E9" s="18">
        <f t="shared" ref="E9:E21" si="15">(((B9*$B$4)-$B$3+$E$3)/$E$4)</f>
        <v>7.717998386447281</v>
      </c>
      <c r="G9" s="20">
        <f t="shared" si="6"/>
        <v>0.58669420271930239</v>
      </c>
      <c r="H9" s="21">
        <f t="shared" si="3"/>
        <v>350</v>
      </c>
      <c r="I9" s="20">
        <f t="shared" si="7"/>
        <v>4.2200733749999992</v>
      </c>
      <c r="J9" s="20">
        <f t="shared" si="8"/>
        <v>7.9518824408333328</v>
      </c>
      <c r="L9" s="13">
        <f t="shared" si="9"/>
        <v>0.4666819735526358</v>
      </c>
      <c r="M9" s="14">
        <f t="shared" si="10"/>
        <v>288.71715957446816</v>
      </c>
      <c r="N9" s="13">
        <f t="shared" si="4"/>
        <v>3.5</v>
      </c>
      <c r="O9" s="13">
        <f t="shared" si="11"/>
        <v>5.5516378575000012</v>
      </c>
      <c r="Q9" s="9">
        <f t="shared" si="12"/>
        <v>0.58910008067763586</v>
      </c>
      <c r="R9" s="10">
        <f t="shared" si="13"/>
        <v>351.22853342553196</v>
      </c>
      <c r="S9" s="9">
        <f t="shared" si="14"/>
        <v>4.2345086427499998</v>
      </c>
      <c r="T9" s="9">
        <f t="shared" si="5"/>
        <v>8.0000000000000018</v>
      </c>
    </row>
    <row r="10" spans="1:20" x14ac:dyDescent="0.2">
      <c r="B10" s="18">
        <f t="shared" si="0"/>
        <v>0.59999999999999987</v>
      </c>
      <c r="C10" s="19">
        <f t="shared" si="1"/>
        <v>356.79444967524984</v>
      </c>
      <c r="D10" s="18">
        <f t="shared" si="2"/>
        <v>4.2999081586841843</v>
      </c>
      <c r="E10" s="18">
        <f t="shared" si="15"/>
        <v>8.2179983864472828</v>
      </c>
      <c r="G10" s="20">
        <f t="shared" si="6"/>
        <v>0.60627753605263568</v>
      </c>
      <c r="H10" s="21">
        <f t="shared" si="3"/>
        <v>360</v>
      </c>
      <c r="I10" s="20">
        <f t="shared" si="7"/>
        <v>4.3375733749999998</v>
      </c>
      <c r="J10" s="20">
        <f t="shared" si="8"/>
        <v>8.3435491074999995</v>
      </c>
      <c r="L10" s="13">
        <f t="shared" si="9"/>
        <v>0.49168197355263582</v>
      </c>
      <c r="M10" s="14">
        <f t="shared" si="10"/>
        <v>301.4831170212766</v>
      </c>
      <c r="N10" s="13">
        <f t="shared" si="4"/>
        <v>3.65</v>
      </c>
      <c r="O10" s="13">
        <f t="shared" si="11"/>
        <v>6.0516378575000012</v>
      </c>
      <c r="Q10" s="9">
        <f t="shared" si="12"/>
        <v>0.60660008067763582</v>
      </c>
      <c r="R10" s="10">
        <f t="shared" si="13"/>
        <v>360.16470363829796</v>
      </c>
      <c r="S10" s="9">
        <f t="shared" si="14"/>
        <v>4.3395086427500003</v>
      </c>
      <c r="T10" s="9">
        <f t="shared" si="5"/>
        <v>8.3500000000000014</v>
      </c>
    </row>
    <row r="11" spans="1:20" x14ac:dyDescent="0.2">
      <c r="B11" s="18">
        <f t="shared" si="0"/>
        <v>0.62499999999999989</v>
      </c>
      <c r="C11" s="19">
        <f t="shared" si="1"/>
        <v>369.56040712205828</v>
      </c>
      <c r="D11" s="18">
        <f t="shared" si="2"/>
        <v>4.4499081586841847</v>
      </c>
      <c r="E11" s="18">
        <f t="shared" si="15"/>
        <v>8.7179983864472828</v>
      </c>
      <c r="G11" s="20">
        <f t="shared" si="6"/>
        <v>0.62586086938596908</v>
      </c>
      <c r="H11" s="21">
        <f t="shared" si="3"/>
        <v>370</v>
      </c>
      <c r="I11" s="20">
        <f t="shared" si="7"/>
        <v>4.4550733749999996</v>
      </c>
      <c r="J11" s="20">
        <f t="shared" si="8"/>
        <v>8.7352157741666669</v>
      </c>
      <c r="L11" s="13">
        <f t="shared" si="9"/>
        <v>0.51668197355263579</v>
      </c>
      <c r="M11" s="14">
        <f t="shared" si="10"/>
        <v>314.24907446808515</v>
      </c>
      <c r="N11" s="13">
        <f t="shared" si="4"/>
        <v>3.8</v>
      </c>
      <c r="O11" s="13">
        <f t="shared" si="11"/>
        <v>6.5516378575000012</v>
      </c>
      <c r="Q11" s="9">
        <f t="shared" si="12"/>
        <v>0.62410008067763589</v>
      </c>
      <c r="R11" s="10">
        <f t="shared" si="13"/>
        <v>369.10087385106391</v>
      </c>
      <c r="S11" s="9">
        <f t="shared" si="14"/>
        <v>4.4445086427499998</v>
      </c>
      <c r="T11" s="9">
        <f t="shared" si="5"/>
        <v>8.7000000000000011</v>
      </c>
    </row>
    <row r="12" spans="1:20" x14ac:dyDescent="0.2">
      <c r="B12" s="18">
        <f t="shared" si="0"/>
        <v>0.64999999999999991</v>
      </c>
      <c r="C12" s="19">
        <f t="shared" si="1"/>
        <v>382.32636456886684</v>
      </c>
      <c r="D12" s="18">
        <f t="shared" si="2"/>
        <v>4.5999081586841841</v>
      </c>
      <c r="E12" s="18">
        <f t="shared" si="15"/>
        <v>9.2179983864472828</v>
      </c>
      <c r="G12" s="20">
        <f t="shared" si="6"/>
        <v>0.64544420271930236</v>
      </c>
      <c r="H12" s="21">
        <f t="shared" si="3"/>
        <v>380</v>
      </c>
      <c r="I12" s="20">
        <f t="shared" si="7"/>
        <v>4.5725733749999993</v>
      </c>
      <c r="J12" s="20">
        <f t="shared" si="8"/>
        <v>9.1268824408333327</v>
      </c>
      <c r="L12" s="13">
        <f t="shared" si="9"/>
        <v>0.54168197355263581</v>
      </c>
      <c r="M12" s="14">
        <f t="shared" si="10"/>
        <v>327.01503191489365</v>
      </c>
      <c r="N12" s="13">
        <f t="shared" si="4"/>
        <v>3.9499999999999997</v>
      </c>
      <c r="O12" s="13">
        <f t="shared" si="11"/>
        <v>7.0516378575000012</v>
      </c>
      <c r="Q12" s="9">
        <f t="shared" si="12"/>
        <v>0.64160008067763574</v>
      </c>
      <c r="R12" s="10">
        <f t="shared" si="13"/>
        <v>378.0370440638298</v>
      </c>
      <c r="S12" s="9">
        <f t="shared" si="14"/>
        <v>4.5495086427499993</v>
      </c>
      <c r="T12" s="9">
        <f t="shared" si="5"/>
        <v>9.0500000000000007</v>
      </c>
    </row>
    <row r="13" spans="1:20" ht="13.5" thickBot="1" x14ac:dyDescent="0.25">
      <c r="B13" s="18">
        <f>B14-0.025</f>
        <v>0.67499999999999993</v>
      </c>
      <c r="C13" s="19">
        <f t="shared" si="1"/>
        <v>395.09232201567534</v>
      </c>
      <c r="D13" s="18">
        <f t="shared" si="2"/>
        <v>4.7499081586841845</v>
      </c>
      <c r="E13" s="18">
        <f t="shared" si="15"/>
        <v>9.7179983864472828</v>
      </c>
      <c r="G13" s="20">
        <f t="shared" si="6"/>
        <v>0.66502753605263576</v>
      </c>
      <c r="H13" s="21">
        <f>H14-10</f>
        <v>390</v>
      </c>
      <c r="I13" s="20">
        <f t="shared" si="7"/>
        <v>4.6900733749999999</v>
      </c>
      <c r="J13" s="20">
        <f t="shared" si="8"/>
        <v>9.5185491075000002</v>
      </c>
      <c r="L13" s="13">
        <f t="shared" si="9"/>
        <v>0.56668197355263572</v>
      </c>
      <c r="M13" s="14">
        <f t="shared" si="10"/>
        <v>339.78098936170215</v>
      </c>
      <c r="N13" s="13">
        <f>N14-0.15</f>
        <v>4.0999999999999996</v>
      </c>
      <c r="O13" s="13">
        <f t="shared" si="11"/>
        <v>7.5516378574999994</v>
      </c>
      <c r="Q13" s="9">
        <f t="shared" si="12"/>
        <v>0.6591000806776357</v>
      </c>
      <c r="R13" s="10">
        <f t="shared" si="13"/>
        <v>386.97321427659574</v>
      </c>
      <c r="S13" s="9">
        <f t="shared" si="14"/>
        <v>4.6545086427499998</v>
      </c>
      <c r="T13" s="9">
        <f>T14-0.35</f>
        <v>9.4</v>
      </c>
    </row>
    <row r="14" spans="1:20" ht="13.5" thickBot="1" x14ac:dyDescent="0.25">
      <c r="B14" s="24">
        <f>Conventional!$B$8</f>
        <v>0.7</v>
      </c>
      <c r="C14" s="19">
        <f t="shared" si="1"/>
        <v>407.85827946248389</v>
      </c>
      <c r="D14" s="18">
        <f t="shared" si="2"/>
        <v>4.8999081586841848</v>
      </c>
      <c r="E14" s="18">
        <f t="shared" si="15"/>
        <v>10.217998386447285</v>
      </c>
      <c r="G14" s="20">
        <f t="shared" si="6"/>
        <v>0.68461086938596905</v>
      </c>
      <c r="H14" s="22">
        <f>Conventional!$D$8</f>
        <v>400</v>
      </c>
      <c r="I14" s="20">
        <f t="shared" si="7"/>
        <v>4.8075733749999996</v>
      </c>
      <c r="J14" s="20">
        <f t="shared" si="8"/>
        <v>9.9102157741666659</v>
      </c>
      <c r="L14" s="13">
        <f t="shared" si="9"/>
        <v>0.59168197355263585</v>
      </c>
      <c r="M14" s="14">
        <f t="shared" si="10"/>
        <v>352.54694680851065</v>
      </c>
      <c r="N14" s="15">
        <f>Conventional!$F$8</f>
        <v>4.25</v>
      </c>
      <c r="O14" s="13">
        <f t="shared" si="11"/>
        <v>8.0516378575000012</v>
      </c>
      <c r="Q14" s="9">
        <f t="shared" si="12"/>
        <v>0.67660008067763577</v>
      </c>
      <c r="R14" s="10">
        <f t="shared" si="13"/>
        <v>395.90938448936168</v>
      </c>
      <c r="S14" s="9">
        <f t="shared" si="14"/>
        <v>4.7595086427499993</v>
      </c>
      <c r="T14" s="11">
        <f>Conventional!$H$8</f>
        <v>9.75</v>
      </c>
    </row>
    <row r="15" spans="1:20" x14ac:dyDescent="0.2">
      <c r="B15" s="18">
        <f>B14+0.025</f>
        <v>0.72499999999999998</v>
      </c>
      <c r="C15" s="19">
        <f t="shared" si="1"/>
        <v>420.62423690929239</v>
      </c>
      <c r="D15" s="18">
        <f t="shared" si="2"/>
        <v>5.0499081586841852</v>
      </c>
      <c r="E15" s="18">
        <f t="shared" si="15"/>
        <v>10.717998386447285</v>
      </c>
      <c r="G15" s="20">
        <f t="shared" si="6"/>
        <v>0.70419420271930244</v>
      </c>
      <c r="H15" s="21">
        <f>H14+10</f>
        <v>410</v>
      </c>
      <c r="I15" s="20">
        <f t="shared" si="7"/>
        <v>4.9250733749999993</v>
      </c>
      <c r="J15" s="20">
        <f t="shared" si="8"/>
        <v>10.301882440833333</v>
      </c>
      <c r="L15" s="13">
        <f t="shared" si="9"/>
        <v>0.61668197355263588</v>
      </c>
      <c r="M15" s="14">
        <f t="shared" si="10"/>
        <v>365.31290425531927</v>
      </c>
      <c r="N15" s="13">
        <f>N14+0.15</f>
        <v>4.4000000000000004</v>
      </c>
      <c r="O15" s="13">
        <f t="shared" si="11"/>
        <v>8.5516378575000029</v>
      </c>
      <c r="Q15" s="9">
        <f t="shared" si="12"/>
        <v>0.69410008067763573</v>
      </c>
      <c r="R15" s="10">
        <f t="shared" si="13"/>
        <v>404.84555470212769</v>
      </c>
      <c r="S15" s="9">
        <f t="shared" si="14"/>
        <v>4.8645086427499997</v>
      </c>
      <c r="T15" s="9">
        <f>T14+0.35</f>
        <v>10.1</v>
      </c>
    </row>
    <row r="16" spans="1:20" x14ac:dyDescent="0.2">
      <c r="B16" s="18">
        <f t="shared" ref="B16:B21" si="16">B15+0.025</f>
        <v>0.75</v>
      </c>
      <c r="C16" s="19">
        <f t="shared" si="1"/>
        <v>433.39019435610089</v>
      </c>
      <c r="D16" s="18">
        <f t="shared" si="2"/>
        <v>5.1999081586841847</v>
      </c>
      <c r="E16" s="18">
        <f t="shared" si="15"/>
        <v>11.217998386447285</v>
      </c>
      <c r="G16" s="20">
        <f t="shared" si="6"/>
        <v>0.72377753605263573</v>
      </c>
      <c r="H16" s="21">
        <f t="shared" ref="H16:H21" si="17">H15+10</f>
        <v>420</v>
      </c>
      <c r="I16" s="20">
        <f t="shared" si="7"/>
        <v>5.0425733749999999</v>
      </c>
      <c r="J16" s="20">
        <f t="shared" si="8"/>
        <v>10.693549107499999</v>
      </c>
      <c r="L16" s="13">
        <f t="shared" si="9"/>
        <v>0.6416819735526359</v>
      </c>
      <c r="M16" s="14">
        <f t="shared" si="10"/>
        <v>378.07886170212771</v>
      </c>
      <c r="N16" s="13">
        <f t="shared" ref="N16:N21" si="18">N15+0.15</f>
        <v>4.5500000000000007</v>
      </c>
      <c r="O16" s="13">
        <f t="shared" si="11"/>
        <v>9.0516378575000029</v>
      </c>
      <c r="Q16" s="9">
        <f t="shared" si="12"/>
        <v>0.7116000806776358</v>
      </c>
      <c r="R16" s="10">
        <f t="shared" si="13"/>
        <v>413.78172491489363</v>
      </c>
      <c r="S16" s="9">
        <f t="shared" si="14"/>
        <v>4.9695086427499993</v>
      </c>
      <c r="T16" s="9">
        <f t="shared" ref="T16:T21" si="19">T15+0.35</f>
        <v>10.45</v>
      </c>
    </row>
    <row r="17" spans="1:20" x14ac:dyDescent="0.2">
      <c r="B17" s="18">
        <f t="shared" si="16"/>
        <v>0.77500000000000002</v>
      </c>
      <c r="C17" s="19">
        <f t="shared" si="1"/>
        <v>446.15615180290939</v>
      </c>
      <c r="D17" s="18">
        <f t="shared" si="2"/>
        <v>5.349908158684185</v>
      </c>
      <c r="E17" s="18">
        <f t="shared" si="15"/>
        <v>11.717998386447285</v>
      </c>
      <c r="G17" s="20">
        <f t="shared" si="6"/>
        <v>0.74336086938596901</v>
      </c>
      <c r="H17" s="21">
        <f t="shared" si="17"/>
        <v>430</v>
      </c>
      <c r="I17" s="20">
        <f t="shared" si="7"/>
        <v>5.1600733749999996</v>
      </c>
      <c r="J17" s="20">
        <f t="shared" si="8"/>
        <v>11.085215774166667</v>
      </c>
      <c r="L17" s="13">
        <f t="shared" si="9"/>
        <v>0.66668197355263603</v>
      </c>
      <c r="M17" s="14">
        <f t="shared" si="10"/>
        <v>390.84481914893632</v>
      </c>
      <c r="N17" s="13">
        <f t="shared" si="18"/>
        <v>4.7000000000000011</v>
      </c>
      <c r="O17" s="13">
        <f t="shared" si="11"/>
        <v>9.5516378575000047</v>
      </c>
      <c r="Q17" s="9">
        <f t="shared" si="12"/>
        <v>0.72910008067763565</v>
      </c>
      <c r="R17" s="10">
        <f t="shared" si="13"/>
        <v>422.71789512765957</v>
      </c>
      <c r="S17" s="9">
        <f t="shared" si="14"/>
        <v>5.0745086427499988</v>
      </c>
      <c r="T17" s="9">
        <f t="shared" si="19"/>
        <v>10.799999999999999</v>
      </c>
    </row>
    <row r="18" spans="1:20" x14ac:dyDescent="0.2">
      <c r="B18" s="18">
        <f t="shared" si="16"/>
        <v>0.8</v>
      </c>
      <c r="C18" s="19">
        <f t="shared" si="1"/>
        <v>458.92210924971795</v>
      </c>
      <c r="D18" s="18">
        <f t="shared" si="2"/>
        <v>5.4999081586841854</v>
      </c>
      <c r="E18" s="18">
        <f t="shared" si="15"/>
        <v>12.217998386447285</v>
      </c>
      <c r="G18" s="20">
        <f t="shared" si="6"/>
        <v>0.76294420271930241</v>
      </c>
      <c r="H18" s="21">
        <f t="shared" si="17"/>
        <v>440</v>
      </c>
      <c r="I18" s="20">
        <f t="shared" si="7"/>
        <v>5.2775733749999993</v>
      </c>
      <c r="J18" s="20">
        <f t="shared" si="8"/>
        <v>11.476882440833332</v>
      </c>
      <c r="L18" s="13">
        <f t="shared" si="9"/>
        <v>0.69168197355263605</v>
      </c>
      <c r="M18" s="14">
        <f t="shared" si="10"/>
        <v>403.61077659574482</v>
      </c>
      <c r="N18" s="13">
        <f t="shared" si="18"/>
        <v>4.8500000000000014</v>
      </c>
      <c r="O18" s="13">
        <f t="shared" si="11"/>
        <v>10.051637857500005</v>
      </c>
      <c r="Q18" s="9">
        <f t="shared" si="12"/>
        <v>0.74660008067763561</v>
      </c>
      <c r="R18" s="10">
        <f t="shared" si="13"/>
        <v>431.65406534042552</v>
      </c>
      <c r="S18" s="9">
        <f t="shared" si="14"/>
        <v>5.1795086427499992</v>
      </c>
      <c r="T18" s="9">
        <f t="shared" si="19"/>
        <v>11.149999999999999</v>
      </c>
    </row>
    <row r="19" spans="1:20" x14ac:dyDescent="0.2">
      <c r="B19" s="18">
        <f t="shared" si="16"/>
        <v>0.82500000000000007</v>
      </c>
      <c r="C19" s="19">
        <f t="shared" si="1"/>
        <v>471.6880666965265</v>
      </c>
      <c r="D19" s="18">
        <f t="shared" si="2"/>
        <v>5.6499081586841866</v>
      </c>
      <c r="E19" s="18">
        <f t="shared" si="15"/>
        <v>12.717998386447286</v>
      </c>
      <c r="G19" s="20">
        <f t="shared" si="6"/>
        <v>0.7825275360526357</v>
      </c>
      <c r="H19" s="21">
        <f t="shared" si="17"/>
        <v>450</v>
      </c>
      <c r="I19" s="20">
        <f t="shared" si="7"/>
        <v>5.3950733749999991</v>
      </c>
      <c r="J19" s="20">
        <f t="shared" si="8"/>
        <v>11.8685491075</v>
      </c>
      <c r="L19" s="13">
        <f t="shared" si="9"/>
        <v>0.71668197355263608</v>
      </c>
      <c r="M19" s="14">
        <f t="shared" si="10"/>
        <v>416.37673404255338</v>
      </c>
      <c r="N19" s="13">
        <f t="shared" si="18"/>
        <v>5.0000000000000018</v>
      </c>
      <c r="O19" s="13">
        <f t="shared" si="11"/>
        <v>10.551637857500006</v>
      </c>
      <c r="Q19" s="9">
        <f t="shared" si="12"/>
        <v>0.76410008067763568</v>
      </c>
      <c r="R19" s="10">
        <f t="shared" si="13"/>
        <v>440.59023555319146</v>
      </c>
      <c r="S19" s="9">
        <f t="shared" si="14"/>
        <v>5.2845086427499997</v>
      </c>
      <c r="T19" s="9">
        <f t="shared" si="19"/>
        <v>11.499999999999998</v>
      </c>
    </row>
    <row r="20" spans="1:20" x14ac:dyDescent="0.2">
      <c r="B20" s="18">
        <f t="shared" si="16"/>
        <v>0.85000000000000009</v>
      </c>
      <c r="C20" s="19">
        <f t="shared" si="1"/>
        <v>484.45402414333506</v>
      </c>
      <c r="D20" s="18">
        <f t="shared" si="2"/>
        <v>5.7999081586841861</v>
      </c>
      <c r="E20" s="18">
        <f t="shared" si="15"/>
        <v>13.217998386447286</v>
      </c>
      <c r="G20" s="20">
        <f t="shared" si="6"/>
        <v>0.80211086938596909</v>
      </c>
      <c r="H20" s="21">
        <f t="shared" si="17"/>
        <v>460</v>
      </c>
      <c r="I20" s="20">
        <f t="shared" si="7"/>
        <v>5.5125733749999997</v>
      </c>
      <c r="J20" s="20">
        <f t="shared" si="8"/>
        <v>12.260215774166666</v>
      </c>
      <c r="L20" s="13">
        <f t="shared" si="9"/>
        <v>0.74168197355263621</v>
      </c>
      <c r="M20" s="14">
        <f t="shared" si="10"/>
        <v>429.14269148936194</v>
      </c>
      <c r="N20" s="13">
        <f t="shared" si="18"/>
        <v>5.1500000000000021</v>
      </c>
      <c r="O20" s="13">
        <f t="shared" si="11"/>
        <v>11.051637857500008</v>
      </c>
      <c r="Q20" s="9">
        <f t="shared" si="12"/>
        <v>0.78160008067763564</v>
      </c>
      <c r="R20" s="10">
        <f t="shared" si="13"/>
        <v>449.52640576595746</v>
      </c>
      <c r="S20" s="9">
        <f t="shared" si="14"/>
        <v>5.3895086427499992</v>
      </c>
      <c r="T20" s="9">
        <f t="shared" si="19"/>
        <v>11.849999999999998</v>
      </c>
    </row>
    <row r="21" spans="1:20" x14ac:dyDescent="0.2">
      <c r="B21" s="18">
        <f t="shared" si="16"/>
        <v>0.87500000000000011</v>
      </c>
      <c r="C21" s="19">
        <f t="shared" si="1"/>
        <v>497.21998159014356</v>
      </c>
      <c r="D21" s="18">
        <f t="shared" si="2"/>
        <v>5.9499081586841864</v>
      </c>
      <c r="E21" s="18">
        <f t="shared" si="15"/>
        <v>13.717998386447288</v>
      </c>
      <c r="G21" s="20">
        <f t="shared" si="6"/>
        <v>0.82169420271930238</v>
      </c>
      <c r="H21" s="21">
        <f t="shared" si="17"/>
        <v>470</v>
      </c>
      <c r="I21" s="20">
        <f t="shared" si="7"/>
        <v>5.6300733749999994</v>
      </c>
      <c r="J21" s="20">
        <f t="shared" si="8"/>
        <v>12.651882440833333</v>
      </c>
      <c r="L21" s="13">
        <f t="shared" si="9"/>
        <v>0.76668197355263623</v>
      </c>
      <c r="M21" s="14">
        <f t="shared" si="10"/>
        <v>441.90864893617044</v>
      </c>
      <c r="N21" s="13">
        <f t="shared" si="18"/>
        <v>5.3000000000000025</v>
      </c>
      <c r="O21" s="13">
        <f t="shared" si="11"/>
        <v>11.551637857500008</v>
      </c>
      <c r="Q21" s="9">
        <f t="shared" si="12"/>
        <v>0.7991000806776356</v>
      </c>
      <c r="R21" s="10">
        <f t="shared" si="13"/>
        <v>458.46257597872341</v>
      </c>
      <c r="S21" s="9">
        <f t="shared" si="14"/>
        <v>5.4945086427499996</v>
      </c>
      <c r="T21" s="9">
        <f t="shared" si="19"/>
        <v>12.199999999999998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72</v>
      </c>
      <c r="B24" s="57">
        <f>Conventional!$N$30</f>
        <v>420.11674161174233</v>
      </c>
      <c r="C24" s="57">
        <f>Conventional!$P$30</f>
        <v>535.90442500000006</v>
      </c>
      <c r="D24" s="57">
        <f>Conventional!$R$30</f>
        <v>311.60782896249998</v>
      </c>
      <c r="E24" s="57">
        <f>Conventional!$T$30</f>
        <v>210.92940435000003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73</v>
      </c>
      <c r="B25" s="58">
        <f>Conventional!$N$7</f>
        <v>750</v>
      </c>
      <c r="C25" s="58">
        <f>Conventional!$P$7</f>
        <v>3400</v>
      </c>
      <c r="D25" s="58">
        <f>Conventional!$R$7</f>
        <v>85</v>
      </c>
      <c r="E25" s="58">
        <f>Conventional!$T$7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417" t="s">
        <v>74</v>
      </c>
      <c r="C26" s="417"/>
      <c r="D26" s="417"/>
      <c r="E26" s="417"/>
      <c r="F26" s="29"/>
      <c r="G26" s="418" t="s">
        <v>75</v>
      </c>
      <c r="H26" s="418"/>
      <c r="I26" s="418"/>
      <c r="J26" s="418"/>
      <c r="K26" s="29"/>
      <c r="L26" s="419" t="s">
        <v>76</v>
      </c>
      <c r="M26" s="419"/>
      <c r="N26" s="419"/>
      <c r="O26" s="419"/>
      <c r="P26" s="29"/>
      <c r="Q26" s="420" t="s">
        <v>77</v>
      </c>
      <c r="R26" s="420"/>
      <c r="S26" s="420"/>
      <c r="T26" s="420"/>
    </row>
    <row r="27" spans="1:20" s="8" customFormat="1" ht="38.25" x14ac:dyDescent="0.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2">
      <c r="B28" s="18">
        <f t="shared" ref="B28:B33" si="20">B29-0.025</f>
        <v>0.5249999999999998</v>
      </c>
      <c r="C28" s="19">
        <f t="shared" ref="C28:C42" si="21">(((B28*$B$25)-$B$24+$C$24)/$C$25)*2000</f>
        <v>299.72804905191617</v>
      </c>
      <c r="D28" s="18">
        <f t="shared" ref="D28:D42" si="22">(((B28*$B$25)-$B$24+$D$24)/$D$25)</f>
        <v>3.3557774982442057</v>
      </c>
      <c r="E28" s="18">
        <f t="shared" ref="E28:E42" si="23">(((B28*$B$25)-$B$24+$E$24)/$E$25)</f>
        <v>6.1520887579419172</v>
      </c>
      <c r="G28" s="20">
        <f>(((H28*$C$25/2000)-$C$24+$B$24)/$B$25)</f>
        <v>0.59361642214898969</v>
      </c>
      <c r="H28" s="21">
        <f t="shared" ref="H28:H33" si="24">H29-10</f>
        <v>330</v>
      </c>
      <c r="I28" s="20">
        <f>(((H28*$C$25/2000)-$C$24+$D$24)/$D$25)</f>
        <v>3.9612165172058815</v>
      </c>
      <c r="J28" s="20">
        <f>(((H28*$C$25/2000)-$C$24+$E$24)/$E$25)</f>
        <v>7.8674993116666654</v>
      </c>
      <c r="L28" s="17">
        <f>(((N28*$D$25)-$D$24+$B$24)/$B$25)</f>
        <v>0.50734521686565648</v>
      </c>
      <c r="M28" s="14">
        <f>(((N28*$D$25)-$D$24+$C$24)/$C$25)*2000</f>
        <v>291.93917413970593</v>
      </c>
      <c r="N28" s="13">
        <f t="shared" ref="N28:N33" si="25">N29-0.15</f>
        <v>3.2</v>
      </c>
      <c r="O28" s="13">
        <f>(((N28*$D$25)-$D$24+$E$24)/$E$25)</f>
        <v>5.710719179583335</v>
      </c>
      <c r="Q28" s="9">
        <f>(((T28*$E$25)-$E$24+$B$24)/$B$25)</f>
        <v>0.57091644968232325</v>
      </c>
      <c r="R28" s="10">
        <f>(((T28*$E$25)-$E$24+$C$24)/$C$25)*2000</f>
        <v>319.98530626470597</v>
      </c>
      <c r="S28" s="9">
        <f>(((T28*$E$25)-$E$24+$D$24)/$D$25)</f>
        <v>3.7609226425000006</v>
      </c>
      <c r="T28" s="9">
        <f t="shared" ref="T28:T33" si="26">T29-0.35</f>
        <v>7.3000000000000025</v>
      </c>
    </row>
    <row r="29" spans="1:20" x14ac:dyDescent="0.2">
      <c r="B29" s="18">
        <f t="shared" si="20"/>
        <v>0.54999999999999982</v>
      </c>
      <c r="C29" s="19">
        <f t="shared" si="21"/>
        <v>310.75746081662214</v>
      </c>
      <c r="D29" s="18">
        <f t="shared" si="22"/>
        <v>3.5763657335383239</v>
      </c>
      <c r="E29" s="18">
        <f t="shared" si="23"/>
        <v>6.7770887579419199</v>
      </c>
      <c r="G29" s="20">
        <f t="shared" ref="G29:G42" si="27">(((H29*$C$25/2000)-$C$24+$B$24)/$B$25)</f>
        <v>0.61628308881565641</v>
      </c>
      <c r="H29" s="21">
        <f t="shared" si="24"/>
        <v>340</v>
      </c>
      <c r="I29" s="20">
        <f t="shared" ref="I29:I42" si="28">(((H29*$C$25/2000)-$C$24+$D$24)/$D$25)</f>
        <v>4.1612165172058813</v>
      </c>
      <c r="J29" s="20">
        <f t="shared" ref="J29:J42" si="29">(((H29*$C$25/2000)-$C$24+$E$24)/$E$25)</f>
        <v>8.4341659783333327</v>
      </c>
      <c r="L29" s="17">
        <f t="shared" ref="L29:L42" si="30">(((N29*$D$25)-$D$24+$B$24)/$B$25)</f>
        <v>0.52434521686565649</v>
      </c>
      <c r="M29" s="14">
        <f t="shared" ref="M29:M42" si="31">(((N29*$D$25)-$D$24+$C$24)/$C$25)*2000</f>
        <v>299.43917413970593</v>
      </c>
      <c r="N29" s="13">
        <f t="shared" si="25"/>
        <v>3.35</v>
      </c>
      <c r="O29" s="13">
        <f t="shared" ref="O29:O42" si="32">(((N29*$D$25)-$D$24+$E$24)/$E$25)</f>
        <v>6.1357191795833348</v>
      </c>
      <c r="Q29" s="9">
        <f t="shared" ref="Q29:Q42" si="33">(((T29*$E$25)-$E$24+$B$24)/$B$25)</f>
        <v>0.58491644968232315</v>
      </c>
      <c r="R29" s="10">
        <f t="shared" ref="R29:R42" si="34">(((T29*$E$25)-$E$24+$C$24)/$C$25)*2000</f>
        <v>326.16177685294116</v>
      </c>
      <c r="S29" s="9">
        <f t="shared" ref="S29:S42" si="35">(((T29*$E$25)-$E$24+$D$24)/$D$25)</f>
        <v>3.8844520542647061</v>
      </c>
      <c r="T29" s="9">
        <f t="shared" si="26"/>
        <v>7.6500000000000021</v>
      </c>
    </row>
    <row r="30" spans="1:20" x14ac:dyDescent="0.2">
      <c r="B30" s="18">
        <f t="shared" si="20"/>
        <v>0.57499999999999984</v>
      </c>
      <c r="C30" s="19">
        <f t="shared" si="21"/>
        <v>321.786872581328</v>
      </c>
      <c r="D30" s="18">
        <f t="shared" si="22"/>
        <v>3.7969539688324416</v>
      </c>
      <c r="E30" s="18">
        <f t="shared" si="23"/>
        <v>7.4020887579419199</v>
      </c>
      <c r="G30" s="20">
        <f t="shared" si="27"/>
        <v>0.63894975548232302</v>
      </c>
      <c r="H30" s="21">
        <f t="shared" si="24"/>
        <v>350</v>
      </c>
      <c r="I30" s="20">
        <f t="shared" si="28"/>
        <v>4.3612165172058814</v>
      </c>
      <c r="J30" s="20">
        <f t="shared" si="29"/>
        <v>9.0008326449999991</v>
      </c>
      <c r="L30" s="17">
        <f t="shared" si="30"/>
        <v>0.54134521686565651</v>
      </c>
      <c r="M30" s="14">
        <f t="shared" si="31"/>
        <v>306.93917413970593</v>
      </c>
      <c r="N30" s="13">
        <f t="shared" si="25"/>
        <v>3.5</v>
      </c>
      <c r="O30" s="13">
        <f t="shared" si="32"/>
        <v>6.5607191795833346</v>
      </c>
      <c r="Q30" s="9">
        <f t="shared" si="33"/>
        <v>0.59891644968232316</v>
      </c>
      <c r="R30" s="10">
        <f t="shared" si="34"/>
        <v>332.33824744117652</v>
      </c>
      <c r="S30" s="9">
        <f t="shared" si="35"/>
        <v>4.0079814660294115</v>
      </c>
      <c r="T30" s="9">
        <f t="shared" si="26"/>
        <v>8.0000000000000018</v>
      </c>
    </row>
    <row r="31" spans="1:20" x14ac:dyDescent="0.2">
      <c r="B31" s="18">
        <f t="shared" si="20"/>
        <v>0.59999999999999987</v>
      </c>
      <c r="C31" s="19">
        <f t="shared" si="21"/>
        <v>332.81628434603391</v>
      </c>
      <c r="D31" s="18">
        <f t="shared" si="22"/>
        <v>4.0175422041265589</v>
      </c>
      <c r="E31" s="18">
        <f t="shared" si="23"/>
        <v>8.0270887579419199</v>
      </c>
      <c r="G31" s="20">
        <f t="shared" si="27"/>
        <v>0.66161642214898964</v>
      </c>
      <c r="H31" s="21">
        <f t="shared" si="24"/>
        <v>360</v>
      </c>
      <c r="I31" s="20">
        <f t="shared" si="28"/>
        <v>4.5612165172058816</v>
      </c>
      <c r="J31" s="20">
        <f t="shared" si="29"/>
        <v>9.5674993116666656</v>
      </c>
      <c r="L31" s="17">
        <f t="shared" si="30"/>
        <v>0.55834521686565641</v>
      </c>
      <c r="M31" s="14">
        <f t="shared" si="31"/>
        <v>314.43917413970598</v>
      </c>
      <c r="N31" s="13">
        <f t="shared" si="25"/>
        <v>3.65</v>
      </c>
      <c r="O31" s="13">
        <f t="shared" si="32"/>
        <v>6.9857191795833353</v>
      </c>
      <c r="Q31" s="9">
        <f t="shared" si="33"/>
        <v>0.61291644968232317</v>
      </c>
      <c r="R31" s="10">
        <f t="shared" si="34"/>
        <v>338.51471802941182</v>
      </c>
      <c r="S31" s="9">
        <f t="shared" si="35"/>
        <v>4.1315108777941179</v>
      </c>
      <c r="T31" s="9">
        <f t="shared" si="26"/>
        <v>8.3500000000000014</v>
      </c>
    </row>
    <row r="32" spans="1:20" x14ac:dyDescent="0.2">
      <c r="B32" s="18">
        <f t="shared" si="20"/>
        <v>0.62499999999999989</v>
      </c>
      <c r="C32" s="19">
        <f t="shared" si="21"/>
        <v>343.84569611073977</v>
      </c>
      <c r="D32" s="18">
        <f t="shared" si="22"/>
        <v>4.2381304394206776</v>
      </c>
      <c r="E32" s="18">
        <f t="shared" si="23"/>
        <v>8.6520887579419217</v>
      </c>
      <c r="G32" s="20">
        <f t="shared" si="27"/>
        <v>0.68428308881565636</v>
      </c>
      <c r="H32" s="21">
        <f t="shared" si="24"/>
        <v>370</v>
      </c>
      <c r="I32" s="20">
        <f t="shared" si="28"/>
        <v>4.7612165172058818</v>
      </c>
      <c r="J32" s="20">
        <f t="shared" si="29"/>
        <v>10.134165978333332</v>
      </c>
      <c r="L32" s="17">
        <f t="shared" si="30"/>
        <v>0.57534521686565643</v>
      </c>
      <c r="M32" s="14">
        <f t="shared" si="31"/>
        <v>321.93917413970593</v>
      </c>
      <c r="N32" s="13">
        <f t="shared" si="25"/>
        <v>3.8</v>
      </c>
      <c r="O32" s="13">
        <f t="shared" si="32"/>
        <v>7.4107191795833351</v>
      </c>
      <c r="Q32" s="9">
        <f t="shared" si="33"/>
        <v>0.62691644968232318</v>
      </c>
      <c r="R32" s="10">
        <f t="shared" si="34"/>
        <v>344.69118861764707</v>
      </c>
      <c r="S32" s="9">
        <f t="shared" si="35"/>
        <v>4.2550402895588233</v>
      </c>
      <c r="T32" s="9">
        <f t="shared" si="26"/>
        <v>8.7000000000000011</v>
      </c>
    </row>
    <row r="33" spans="1:20" x14ac:dyDescent="0.2">
      <c r="B33" s="18">
        <f t="shared" si="20"/>
        <v>0.64999999999999991</v>
      </c>
      <c r="C33" s="19">
        <f t="shared" si="21"/>
        <v>354.87510787544568</v>
      </c>
      <c r="D33" s="18">
        <f t="shared" si="22"/>
        <v>4.4587186747147953</v>
      </c>
      <c r="E33" s="18">
        <f t="shared" si="23"/>
        <v>9.2770887579419217</v>
      </c>
      <c r="G33" s="20">
        <f t="shared" si="27"/>
        <v>0.70694975548232297</v>
      </c>
      <c r="H33" s="21">
        <f t="shared" si="24"/>
        <v>380</v>
      </c>
      <c r="I33" s="20">
        <f t="shared" si="28"/>
        <v>4.9612165172058811</v>
      </c>
      <c r="J33" s="20">
        <f t="shared" si="29"/>
        <v>10.700832644999998</v>
      </c>
      <c r="L33" s="17">
        <f t="shared" si="30"/>
        <v>0.59234521686565644</v>
      </c>
      <c r="M33" s="14">
        <f t="shared" si="31"/>
        <v>329.43917413970593</v>
      </c>
      <c r="N33" s="13">
        <f t="shared" si="25"/>
        <v>3.9499999999999997</v>
      </c>
      <c r="O33" s="13">
        <f t="shared" si="32"/>
        <v>7.835719179583335</v>
      </c>
      <c r="Q33" s="9">
        <f t="shared" si="33"/>
        <v>0.64091644968232309</v>
      </c>
      <c r="R33" s="10">
        <f t="shared" si="34"/>
        <v>350.86765920588238</v>
      </c>
      <c r="S33" s="9">
        <f t="shared" si="35"/>
        <v>4.3785697013235287</v>
      </c>
      <c r="T33" s="9">
        <f t="shared" si="26"/>
        <v>9.0500000000000007</v>
      </c>
    </row>
    <row r="34" spans="1:20" ht="13.5" thickBot="1" x14ac:dyDescent="0.25">
      <c r="B34" s="18">
        <f>B35-0.025</f>
        <v>0.67499999999999993</v>
      </c>
      <c r="C34" s="19">
        <f t="shared" si="21"/>
        <v>365.90451964015153</v>
      </c>
      <c r="D34" s="18">
        <f t="shared" si="22"/>
        <v>4.6793069100089131</v>
      </c>
      <c r="E34" s="18">
        <f t="shared" si="23"/>
        <v>9.9020887579419217</v>
      </c>
      <c r="G34" s="20">
        <f t="shared" si="27"/>
        <v>0.7296164221489897</v>
      </c>
      <c r="H34" s="21">
        <f>H35-10</f>
        <v>390</v>
      </c>
      <c r="I34" s="20">
        <f t="shared" si="28"/>
        <v>5.1612165172058813</v>
      </c>
      <c r="J34" s="20">
        <f t="shared" si="29"/>
        <v>11.267499311666665</v>
      </c>
      <c r="L34" s="17">
        <f t="shared" si="30"/>
        <v>0.60934521686565635</v>
      </c>
      <c r="M34" s="14">
        <f t="shared" si="31"/>
        <v>336.93917413970587</v>
      </c>
      <c r="N34" s="13">
        <f>N35-0.15</f>
        <v>4.0999999999999996</v>
      </c>
      <c r="O34" s="13">
        <f t="shared" si="32"/>
        <v>8.260719179583333</v>
      </c>
      <c r="Q34" s="9">
        <f t="shared" si="33"/>
        <v>0.6549164496823231</v>
      </c>
      <c r="R34" s="10">
        <f t="shared" si="34"/>
        <v>357.04412979411762</v>
      </c>
      <c r="S34" s="9">
        <f t="shared" si="35"/>
        <v>4.5020991130882351</v>
      </c>
      <c r="T34" s="9">
        <f>T35-0.35</f>
        <v>9.4</v>
      </c>
    </row>
    <row r="35" spans="1:20" ht="13.5" thickBot="1" x14ac:dyDescent="0.25">
      <c r="B35" s="24">
        <f>Conventional!$B$8</f>
        <v>0.7</v>
      </c>
      <c r="C35" s="19">
        <f t="shared" si="21"/>
        <v>376.9339314048575</v>
      </c>
      <c r="D35" s="18">
        <f t="shared" si="22"/>
        <v>4.8998951453030308</v>
      </c>
      <c r="E35" s="18">
        <f t="shared" si="23"/>
        <v>10.527088757941923</v>
      </c>
      <c r="G35" s="20">
        <f t="shared" si="27"/>
        <v>0.75228308881565631</v>
      </c>
      <c r="H35" s="22">
        <f>Conventional!$D$8</f>
        <v>400</v>
      </c>
      <c r="I35" s="20">
        <f t="shared" si="28"/>
        <v>5.3612165172058814</v>
      </c>
      <c r="J35" s="20">
        <f t="shared" si="29"/>
        <v>11.834165978333333</v>
      </c>
      <c r="L35" s="17">
        <f t="shared" si="30"/>
        <v>0.62634521686565647</v>
      </c>
      <c r="M35" s="14">
        <f t="shared" si="31"/>
        <v>344.43917413970593</v>
      </c>
      <c r="N35" s="15">
        <f>Conventional!$F$8</f>
        <v>4.25</v>
      </c>
      <c r="O35" s="13">
        <f t="shared" si="32"/>
        <v>8.6857191795833355</v>
      </c>
      <c r="Q35" s="9">
        <f t="shared" si="33"/>
        <v>0.66891644968232311</v>
      </c>
      <c r="R35" s="10">
        <f t="shared" si="34"/>
        <v>363.22060038235298</v>
      </c>
      <c r="S35" s="9">
        <f t="shared" si="35"/>
        <v>4.6256285248529405</v>
      </c>
      <c r="T35" s="11">
        <f>Conventional!$H$8</f>
        <v>9.75</v>
      </c>
    </row>
    <row r="36" spans="1:20" x14ac:dyDescent="0.2">
      <c r="B36" s="18">
        <f>B35+0.025</f>
        <v>0.72499999999999998</v>
      </c>
      <c r="C36" s="19">
        <f t="shared" si="21"/>
        <v>387.96334316956336</v>
      </c>
      <c r="D36" s="18">
        <f t="shared" si="22"/>
        <v>5.1204833805971486</v>
      </c>
      <c r="E36" s="18">
        <f t="shared" si="23"/>
        <v>11.152088757941923</v>
      </c>
      <c r="G36" s="20">
        <f t="shared" si="27"/>
        <v>0.77494975548232303</v>
      </c>
      <c r="H36" s="21">
        <f>H35+10</f>
        <v>410</v>
      </c>
      <c r="I36" s="20">
        <f t="shared" si="28"/>
        <v>5.5612165172058816</v>
      </c>
      <c r="J36" s="20">
        <f t="shared" si="29"/>
        <v>12.400832644999999</v>
      </c>
      <c r="L36" s="17">
        <f t="shared" si="30"/>
        <v>0.64334521686565649</v>
      </c>
      <c r="M36" s="14">
        <f t="shared" si="31"/>
        <v>351.93917413970598</v>
      </c>
      <c r="N36" s="13">
        <f>N35+0.15</f>
        <v>4.4000000000000004</v>
      </c>
      <c r="O36" s="13">
        <f t="shared" si="32"/>
        <v>9.1107191795833362</v>
      </c>
      <c r="Q36" s="9">
        <f t="shared" si="33"/>
        <v>0.68291644968232301</v>
      </c>
      <c r="R36" s="10">
        <f t="shared" si="34"/>
        <v>369.39707097058829</v>
      </c>
      <c r="S36" s="9">
        <f t="shared" si="35"/>
        <v>4.7491579366176468</v>
      </c>
      <c r="T36" s="9">
        <f>T35+0.35</f>
        <v>10.1</v>
      </c>
    </row>
    <row r="37" spans="1:20" x14ac:dyDescent="0.2">
      <c r="B37" s="18">
        <f t="shared" ref="B37:B42" si="36">B36+0.025</f>
        <v>0.75</v>
      </c>
      <c r="C37" s="19">
        <f t="shared" si="21"/>
        <v>398.99275493426927</v>
      </c>
      <c r="D37" s="18">
        <f t="shared" si="22"/>
        <v>5.3410716158912663</v>
      </c>
      <c r="E37" s="18">
        <f t="shared" si="23"/>
        <v>11.777088757941923</v>
      </c>
      <c r="G37" s="20">
        <f t="shared" si="27"/>
        <v>0.79761642214898965</v>
      </c>
      <c r="H37" s="21">
        <f t="shared" ref="H37:H42" si="37">H36+10</f>
        <v>420</v>
      </c>
      <c r="I37" s="20">
        <f t="shared" si="28"/>
        <v>5.7612165172058818</v>
      </c>
      <c r="J37" s="20">
        <f t="shared" si="29"/>
        <v>12.967499311666666</v>
      </c>
      <c r="L37" s="17">
        <f t="shared" si="30"/>
        <v>0.6603452168656565</v>
      </c>
      <c r="M37" s="14">
        <f t="shared" si="31"/>
        <v>359.43917413970598</v>
      </c>
      <c r="N37" s="13">
        <f t="shared" ref="N37:N42" si="38">N36+0.15</f>
        <v>4.5500000000000007</v>
      </c>
      <c r="O37" s="13">
        <f t="shared" si="32"/>
        <v>9.5357191795833369</v>
      </c>
      <c r="Q37" s="9">
        <f t="shared" si="33"/>
        <v>0.69691644968232302</v>
      </c>
      <c r="R37" s="10">
        <f t="shared" si="34"/>
        <v>375.57354155882354</v>
      </c>
      <c r="S37" s="9">
        <f t="shared" si="35"/>
        <v>4.8726873483823523</v>
      </c>
      <c r="T37" s="9">
        <f t="shared" ref="T37:T42" si="39">T36+0.35</f>
        <v>10.45</v>
      </c>
    </row>
    <row r="38" spans="1:20" x14ac:dyDescent="0.2">
      <c r="B38" s="18">
        <f t="shared" si="36"/>
        <v>0.77500000000000002</v>
      </c>
      <c r="C38" s="19">
        <f t="shared" si="21"/>
        <v>410.02216669897513</v>
      </c>
      <c r="D38" s="18">
        <f t="shared" si="22"/>
        <v>5.5616598511853841</v>
      </c>
      <c r="E38" s="18">
        <f t="shared" si="23"/>
        <v>12.402088757941923</v>
      </c>
      <c r="G38" s="20">
        <f t="shared" si="27"/>
        <v>0.82028308881565637</v>
      </c>
      <c r="H38" s="21">
        <f t="shared" si="37"/>
        <v>430</v>
      </c>
      <c r="I38" s="20">
        <f t="shared" si="28"/>
        <v>5.9612165172058811</v>
      </c>
      <c r="J38" s="20">
        <f t="shared" si="29"/>
        <v>13.534165978333332</v>
      </c>
      <c r="L38" s="17">
        <f t="shared" si="30"/>
        <v>0.67734521686565663</v>
      </c>
      <c r="M38" s="14">
        <f t="shared" si="31"/>
        <v>366.93917413970598</v>
      </c>
      <c r="N38" s="13">
        <f t="shared" si="38"/>
        <v>4.7000000000000011</v>
      </c>
      <c r="O38" s="13">
        <f t="shared" si="32"/>
        <v>9.9607191795833394</v>
      </c>
      <c r="Q38" s="9">
        <f t="shared" si="33"/>
        <v>0.71091644968232293</v>
      </c>
      <c r="R38" s="10">
        <f t="shared" si="34"/>
        <v>381.75001214705884</v>
      </c>
      <c r="S38" s="9">
        <f t="shared" si="35"/>
        <v>4.9962167601470577</v>
      </c>
      <c r="T38" s="9">
        <f t="shared" si="39"/>
        <v>10.799999999999999</v>
      </c>
    </row>
    <row r="39" spans="1:20" x14ac:dyDescent="0.2">
      <c r="B39" s="18">
        <f t="shared" si="36"/>
        <v>0.8</v>
      </c>
      <c r="C39" s="19">
        <f t="shared" si="21"/>
        <v>421.05157846368104</v>
      </c>
      <c r="D39" s="18">
        <f t="shared" si="22"/>
        <v>5.7822480864795018</v>
      </c>
      <c r="E39" s="18">
        <f t="shared" si="23"/>
        <v>13.027088757941923</v>
      </c>
      <c r="G39" s="20">
        <f t="shared" si="27"/>
        <v>0.84294975548232298</v>
      </c>
      <c r="H39" s="21">
        <f t="shared" si="37"/>
        <v>440</v>
      </c>
      <c r="I39" s="20">
        <f t="shared" si="28"/>
        <v>6.1612165172058813</v>
      </c>
      <c r="J39" s="20">
        <f t="shared" si="29"/>
        <v>14.100832644999999</v>
      </c>
      <c r="L39" s="17">
        <f t="shared" si="30"/>
        <v>0.69434521686565664</v>
      </c>
      <c r="M39" s="14">
        <f t="shared" si="31"/>
        <v>374.43917413970598</v>
      </c>
      <c r="N39" s="13">
        <f t="shared" si="38"/>
        <v>4.8500000000000014</v>
      </c>
      <c r="O39" s="13">
        <f t="shared" si="32"/>
        <v>10.385719179583338</v>
      </c>
      <c r="Q39" s="9">
        <f t="shared" si="33"/>
        <v>0.72491644968232294</v>
      </c>
      <c r="R39" s="10">
        <f t="shared" si="34"/>
        <v>387.92648273529414</v>
      </c>
      <c r="S39" s="9">
        <f t="shared" si="35"/>
        <v>5.1197461719117632</v>
      </c>
      <c r="T39" s="9">
        <f t="shared" si="39"/>
        <v>11.149999999999999</v>
      </c>
    </row>
    <row r="40" spans="1:20" x14ac:dyDescent="0.2">
      <c r="B40" s="18">
        <f t="shared" si="36"/>
        <v>0.82500000000000007</v>
      </c>
      <c r="C40" s="19">
        <f t="shared" si="21"/>
        <v>432.0809902283869</v>
      </c>
      <c r="D40" s="18">
        <f t="shared" si="22"/>
        <v>6.0028363217736196</v>
      </c>
      <c r="E40" s="18">
        <f t="shared" si="23"/>
        <v>13.652088757941923</v>
      </c>
      <c r="G40" s="20">
        <f t="shared" si="27"/>
        <v>0.86561642214898971</v>
      </c>
      <c r="H40" s="21">
        <f t="shared" si="37"/>
        <v>450</v>
      </c>
      <c r="I40" s="20">
        <f t="shared" si="28"/>
        <v>6.3612165172058814</v>
      </c>
      <c r="J40" s="20">
        <f t="shared" si="29"/>
        <v>14.667499311666665</v>
      </c>
      <c r="L40" s="17">
        <f t="shared" si="30"/>
        <v>0.71134521686565677</v>
      </c>
      <c r="M40" s="14">
        <f t="shared" si="31"/>
        <v>381.93917413970604</v>
      </c>
      <c r="N40" s="13">
        <f t="shared" si="38"/>
        <v>5.0000000000000018</v>
      </c>
      <c r="O40" s="13">
        <f t="shared" si="32"/>
        <v>10.810719179583341</v>
      </c>
      <c r="Q40" s="9">
        <f t="shared" si="33"/>
        <v>0.73891644968232295</v>
      </c>
      <c r="R40" s="10">
        <f t="shared" si="34"/>
        <v>394.10295332352939</v>
      </c>
      <c r="S40" s="9">
        <f t="shared" si="35"/>
        <v>5.2432755836764695</v>
      </c>
      <c r="T40" s="9">
        <f t="shared" si="39"/>
        <v>11.499999999999998</v>
      </c>
    </row>
    <row r="41" spans="1:20" x14ac:dyDescent="0.2">
      <c r="A41" s="2"/>
      <c r="B41" s="37">
        <f t="shared" si="36"/>
        <v>0.85000000000000009</v>
      </c>
      <c r="C41" s="38">
        <f t="shared" si="21"/>
        <v>443.11040199309286</v>
      </c>
      <c r="D41" s="37">
        <f t="shared" si="22"/>
        <v>6.2234245570677382</v>
      </c>
      <c r="E41" s="37">
        <f t="shared" si="23"/>
        <v>14.277088757941927</v>
      </c>
      <c r="G41" s="39">
        <f t="shared" si="27"/>
        <v>0.88828308881565632</v>
      </c>
      <c r="H41" s="40">
        <f t="shared" si="37"/>
        <v>460</v>
      </c>
      <c r="I41" s="39">
        <f t="shared" si="28"/>
        <v>6.5612165172058816</v>
      </c>
      <c r="J41" s="39">
        <f t="shared" si="29"/>
        <v>15.234165978333332</v>
      </c>
      <c r="L41" s="41">
        <f t="shared" si="30"/>
        <v>0.72834521686565679</v>
      </c>
      <c r="M41" s="42">
        <f t="shared" si="31"/>
        <v>389.43917413970604</v>
      </c>
      <c r="N41" s="43">
        <f t="shared" si="38"/>
        <v>5.1500000000000021</v>
      </c>
      <c r="O41" s="43">
        <f t="shared" si="32"/>
        <v>11.23571917958334</v>
      </c>
      <c r="Q41" s="44">
        <f t="shared" si="33"/>
        <v>0.75291644968232296</v>
      </c>
      <c r="R41" s="45">
        <f t="shared" si="34"/>
        <v>400.27942391176475</v>
      </c>
      <c r="S41" s="44">
        <f t="shared" si="35"/>
        <v>5.366804995441175</v>
      </c>
      <c r="T41" s="44">
        <f t="shared" si="39"/>
        <v>11.849999999999998</v>
      </c>
    </row>
    <row r="42" spans="1:20" x14ac:dyDescent="0.2">
      <c r="A42" s="46"/>
      <c r="B42" s="47">
        <f t="shared" si="36"/>
        <v>0.87500000000000011</v>
      </c>
      <c r="C42" s="48">
        <f t="shared" si="21"/>
        <v>454.13981375779872</v>
      </c>
      <c r="D42" s="47">
        <f t="shared" si="22"/>
        <v>6.444012792361856</v>
      </c>
      <c r="E42" s="47">
        <f t="shared" si="23"/>
        <v>14.902088757941927</v>
      </c>
      <c r="F42" s="46"/>
      <c r="G42" s="49">
        <f t="shared" si="27"/>
        <v>0.91094975548232304</v>
      </c>
      <c r="H42" s="50">
        <f t="shared" si="37"/>
        <v>470</v>
      </c>
      <c r="I42" s="49">
        <f t="shared" si="28"/>
        <v>6.7612165172058818</v>
      </c>
      <c r="J42" s="49">
        <f t="shared" si="29"/>
        <v>15.800832644999998</v>
      </c>
      <c r="K42" s="46"/>
      <c r="L42" s="51">
        <f t="shared" si="30"/>
        <v>0.7453452168656568</v>
      </c>
      <c r="M42" s="52">
        <f t="shared" si="31"/>
        <v>396.9391741397061</v>
      </c>
      <c r="N42" s="53">
        <f t="shared" si="38"/>
        <v>5.3000000000000025</v>
      </c>
      <c r="O42" s="53">
        <f t="shared" si="32"/>
        <v>11.660719179583342</v>
      </c>
      <c r="P42" s="46"/>
      <c r="Q42" s="54">
        <f t="shared" si="33"/>
        <v>0.76691644968232286</v>
      </c>
      <c r="R42" s="55">
        <f t="shared" si="34"/>
        <v>406.4558945</v>
      </c>
      <c r="S42" s="54">
        <f t="shared" si="35"/>
        <v>5.4903344072058813</v>
      </c>
      <c r="T42" s="54">
        <f t="shared" si="39"/>
        <v>12.199999999999998</v>
      </c>
    </row>
    <row r="43" spans="1:20" x14ac:dyDescent="0.2">
      <c r="A43" s="416" t="s">
        <v>84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</row>
    <row r="44" spans="1:20" x14ac:dyDescent="0.2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2">
      <c r="A45" s="1" t="s">
        <v>70</v>
      </c>
      <c r="B45" s="4">
        <f>'Strip-Till'!B$31</f>
        <v>534.42359492878791</v>
      </c>
      <c r="C45" s="4">
        <f>'Strip-Till'!D$31</f>
        <v>635.87335000000007</v>
      </c>
      <c r="D45" s="4">
        <f>'Strip-Till'!F$31</f>
        <v>665.75127499999996</v>
      </c>
      <c r="E45" s="4">
        <f>'Strip-Till'!H$31</f>
        <v>316.28847145000003</v>
      </c>
    </row>
    <row r="46" spans="1:20" x14ac:dyDescent="0.2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417" t="s">
        <v>74</v>
      </c>
      <c r="C47" s="417"/>
      <c r="D47" s="417"/>
      <c r="E47" s="417"/>
      <c r="F47" s="29"/>
      <c r="G47" s="418" t="s">
        <v>75</v>
      </c>
      <c r="H47" s="418"/>
      <c r="I47" s="418"/>
      <c r="J47" s="418"/>
      <c r="K47" s="29"/>
      <c r="L47" s="419" t="s">
        <v>76</v>
      </c>
      <c r="M47" s="419"/>
      <c r="N47" s="419"/>
      <c r="O47" s="419"/>
      <c r="P47" s="29"/>
      <c r="Q47" s="420" t="s">
        <v>77</v>
      </c>
      <c r="R47" s="420"/>
      <c r="S47" s="420"/>
      <c r="T47" s="420"/>
    </row>
    <row r="48" spans="1:20" ht="25.5" x14ac:dyDescent="0.2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2">
      <c r="B49" s="18">
        <f t="shared" ref="B49:B54" si="40">B50-0.025</f>
        <v>0.5249999999999998</v>
      </c>
      <c r="C49" s="19">
        <f>(((B49*$B$46)-$B$45+$C$45)/$C$46)*2000</f>
        <v>311.25521492391999</v>
      </c>
      <c r="D49" s="18">
        <f>(((B49*$B$46)-$B$45+$D$45)/$D$46)</f>
        <v>3.8066384003560589</v>
      </c>
      <c r="E49" s="18">
        <f>(((B49*$B$46)-$B$45+$E$45)/$E$46)</f>
        <v>6.8644146086868654</v>
      </c>
      <c r="G49" s="20">
        <f>(((H49*$C$46/2000)-$C$45+$B$45)/$B$46)</f>
        <v>0.56170853744065652</v>
      </c>
      <c r="H49" s="21">
        <f t="shared" ref="H49:H54" si="41">H50-10</f>
        <v>330</v>
      </c>
      <c r="I49" s="20">
        <f>(((H49*$C$46/2000)-$C$45+$D$45)/$D$46)</f>
        <v>4.026889624999999</v>
      </c>
      <c r="J49" s="20">
        <f>(((H49*$C$46/2000)-$C$45+$E$45)/$E$46)</f>
        <v>7.5985853574999993</v>
      </c>
      <c r="L49" s="17">
        <f>(((N49*$D$46)-$D$45+$B$45)/$B$46)</f>
        <v>0.42389359994065662</v>
      </c>
      <c r="M49" s="14">
        <f>(((N49*$D$46)-$D$45+$C$45)/$C$46)*2000</f>
        <v>259.62641489361704</v>
      </c>
      <c r="N49" s="13">
        <f t="shared" ref="N49:N54" si="42">N50-0.15</f>
        <v>3.2</v>
      </c>
      <c r="O49" s="13">
        <f>(((N49*$D$46)-$D$45+$E$45)/$E$46)</f>
        <v>4.8422866075000011</v>
      </c>
      <c r="Q49" s="36">
        <f>(((T49*$E$46)-$E$45+$B$45)/$B$46)</f>
        <v>0.5467792695656567</v>
      </c>
      <c r="R49" s="10">
        <f>(((T49*$E$46)-$E$45+$C$45)/$C$46)*2000</f>
        <v>322.3765440638299</v>
      </c>
      <c r="S49" s="9">
        <f>(((T49*$E$46)-$E$45+$D$45)/$D$46)</f>
        <v>3.9373140177500003</v>
      </c>
      <c r="T49" s="9">
        <f t="shared" ref="T49:T54" si="43">T50-0.35</f>
        <v>7.3000000000000025</v>
      </c>
    </row>
    <row r="50" spans="2:20" x14ac:dyDescent="0.2">
      <c r="B50" s="18">
        <f t="shared" si="40"/>
        <v>0.54999999999999982</v>
      </c>
      <c r="C50" s="19">
        <f t="shared" ref="C50:C63" si="44">(((B50*$B$46)-$B$45+$C$45)/$C$46)*2000</f>
        <v>324.02117237072849</v>
      </c>
      <c r="D50" s="18">
        <f t="shared" ref="D50:D63" si="45">(((B50*$B$46)-$B$45+$D$45)/$D$46)</f>
        <v>3.9566384003560593</v>
      </c>
      <c r="E50" s="18">
        <f t="shared" ref="E50:E63" si="46">(((B50*$B$46)-$B$45+$E$45)/$E$46)</f>
        <v>7.3644146086868654</v>
      </c>
      <c r="G50" s="20">
        <f t="shared" ref="G50:G63" si="47">(((H50*$C$46/2000)-$C$45+$B$45)/$B$46)</f>
        <v>0.58129187077398992</v>
      </c>
      <c r="H50" s="21">
        <f t="shared" si="41"/>
        <v>340</v>
      </c>
      <c r="I50" s="20">
        <f t="shared" ref="I50:I63" si="48">(((H50*$C$46/2000)-$C$45+$D$45)/$D$46)</f>
        <v>4.1443896249999996</v>
      </c>
      <c r="J50" s="20">
        <f t="shared" ref="J50:J63" si="49">(((H50*$C$46/2000)-$C$45+$E$45)/$E$46)</f>
        <v>7.9902520241666659</v>
      </c>
      <c r="L50" s="17">
        <f t="shared" ref="L50:L63" si="50">(((N50*$D$46)-$D$45+$B$45)/$B$46)</f>
        <v>0.44889359994065664</v>
      </c>
      <c r="M50" s="14">
        <f t="shared" ref="M50:M63" si="51">(((N50*$D$46)-$D$45+$C$45)/$C$46)*2000</f>
        <v>272.3923723404256</v>
      </c>
      <c r="N50" s="13">
        <f t="shared" si="42"/>
        <v>3.35</v>
      </c>
      <c r="O50" s="13">
        <f t="shared" ref="O50:O63" si="52">(((N50*$D$46)-$D$45+$E$45)/$E$46)</f>
        <v>5.3422866075000011</v>
      </c>
      <c r="Q50" s="36">
        <f t="shared" ref="Q50:Q63" si="53">(((T50*$E$46)-$E$45+$B$45)/$B$46)</f>
        <v>0.56427926956565666</v>
      </c>
      <c r="R50" s="10">
        <f t="shared" ref="R50:R63" si="54">(((T50*$E$46)-$E$45+$C$45)/$C$46)*2000</f>
        <v>331.31271427659578</v>
      </c>
      <c r="S50" s="9">
        <f t="shared" ref="S50:S63" si="55">(((T50*$E$46)-$E$45+$D$45)/$D$46)</f>
        <v>4.0423140177499999</v>
      </c>
      <c r="T50" s="9">
        <f t="shared" si="43"/>
        <v>7.6500000000000021</v>
      </c>
    </row>
    <row r="51" spans="2:20" x14ac:dyDescent="0.2">
      <c r="B51" s="18">
        <f t="shared" si="40"/>
        <v>0.57499999999999984</v>
      </c>
      <c r="C51" s="19">
        <f t="shared" si="44"/>
        <v>336.78712981753699</v>
      </c>
      <c r="D51" s="18">
        <f t="shared" si="45"/>
        <v>4.1066384003560588</v>
      </c>
      <c r="E51" s="18">
        <f t="shared" si="46"/>
        <v>7.8644146086868654</v>
      </c>
      <c r="G51" s="20">
        <f t="shared" si="47"/>
        <v>0.6008752041073232</v>
      </c>
      <c r="H51" s="21">
        <f t="shared" si="41"/>
        <v>350</v>
      </c>
      <c r="I51" s="20">
        <f t="shared" si="48"/>
        <v>4.2618896249999993</v>
      </c>
      <c r="J51" s="20">
        <f t="shared" si="49"/>
        <v>8.3819186908333325</v>
      </c>
      <c r="L51" s="17">
        <f t="shared" si="50"/>
        <v>0.47389359994065661</v>
      </c>
      <c r="M51" s="14">
        <f t="shared" si="51"/>
        <v>285.15832978723409</v>
      </c>
      <c r="N51" s="13">
        <f t="shared" si="42"/>
        <v>3.5</v>
      </c>
      <c r="O51" s="13">
        <f t="shared" si="52"/>
        <v>5.8422866075000011</v>
      </c>
      <c r="Q51" s="36">
        <f t="shared" si="53"/>
        <v>0.58177926956565673</v>
      </c>
      <c r="R51" s="10">
        <f t="shared" si="54"/>
        <v>340.24888448936179</v>
      </c>
      <c r="S51" s="9">
        <f t="shared" si="55"/>
        <v>4.1473140177500003</v>
      </c>
      <c r="T51" s="9">
        <f t="shared" si="43"/>
        <v>8.0000000000000018</v>
      </c>
    </row>
    <row r="52" spans="2:20" x14ac:dyDescent="0.2">
      <c r="B52" s="18">
        <f t="shared" si="40"/>
        <v>0.59999999999999987</v>
      </c>
      <c r="C52" s="19">
        <f t="shared" si="44"/>
        <v>349.55308726434555</v>
      </c>
      <c r="D52" s="18">
        <f t="shared" si="45"/>
        <v>4.25663840035606</v>
      </c>
      <c r="E52" s="18">
        <f t="shared" si="46"/>
        <v>8.3644146086868663</v>
      </c>
      <c r="G52" s="20">
        <f t="shared" si="47"/>
        <v>0.62045853744065649</v>
      </c>
      <c r="H52" s="21">
        <f t="shared" si="41"/>
        <v>360</v>
      </c>
      <c r="I52" s="20">
        <f t="shared" si="48"/>
        <v>4.3793896249999991</v>
      </c>
      <c r="J52" s="20">
        <f t="shared" si="49"/>
        <v>8.7735853575</v>
      </c>
      <c r="L52" s="17">
        <f t="shared" si="50"/>
        <v>0.49889359994065663</v>
      </c>
      <c r="M52" s="14">
        <f t="shared" si="51"/>
        <v>297.92428723404259</v>
      </c>
      <c r="N52" s="13">
        <f t="shared" si="42"/>
        <v>3.65</v>
      </c>
      <c r="O52" s="13">
        <f t="shared" si="52"/>
        <v>6.3422866075000011</v>
      </c>
      <c r="Q52" s="36">
        <f t="shared" si="53"/>
        <v>0.59927926956565669</v>
      </c>
      <c r="R52" s="10">
        <f t="shared" si="54"/>
        <v>349.18505470212773</v>
      </c>
      <c r="S52" s="9">
        <f t="shared" si="55"/>
        <v>4.2523140177499998</v>
      </c>
      <c r="T52" s="9">
        <f t="shared" si="43"/>
        <v>8.3500000000000014</v>
      </c>
    </row>
    <row r="53" spans="2:20" x14ac:dyDescent="0.2">
      <c r="B53" s="18">
        <f t="shared" si="40"/>
        <v>0.62499999999999989</v>
      </c>
      <c r="C53" s="19">
        <f t="shared" si="44"/>
        <v>362.31904471115405</v>
      </c>
      <c r="D53" s="18">
        <f t="shared" si="45"/>
        <v>4.4066384003560595</v>
      </c>
      <c r="E53" s="18">
        <f t="shared" si="46"/>
        <v>8.8644146086868663</v>
      </c>
      <c r="G53" s="20">
        <f t="shared" si="47"/>
        <v>0.64004187077398988</v>
      </c>
      <c r="H53" s="21">
        <f t="shared" si="41"/>
        <v>370</v>
      </c>
      <c r="I53" s="20">
        <f t="shared" si="48"/>
        <v>4.4968896249999997</v>
      </c>
      <c r="J53" s="20">
        <f t="shared" si="49"/>
        <v>9.1652520241666675</v>
      </c>
      <c r="L53" s="17">
        <f t="shared" si="50"/>
        <v>0.52389359994065665</v>
      </c>
      <c r="M53" s="14">
        <f t="shared" si="51"/>
        <v>310.69024468085109</v>
      </c>
      <c r="N53" s="13">
        <f t="shared" si="42"/>
        <v>3.8</v>
      </c>
      <c r="O53" s="13">
        <f t="shared" si="52"/>
        <v>6.8422866075000011</v>
      </c>
      <c r="Q53" s="36">
        <f t="shared" si="53"/>
        <v>0.61677926956565665</v>
      </c>
      <c r="R53" s="10">
        <f t="shared" si="54"/>
        <v>358.12122491489373</v>
      </c>
      <c r="S53" s="9">
        <f t="shared" si="55"/>
        <v>4.3573140177500003</v>
      </c>
      <c r="T53" s="9">
        <f t="shared" si="43"/>
        <v>8.7000000000000011</v>
      </c>
    </row>
    <row r="54" spans="2:20" x14ac:dyDescent="0.2">
      <c r="B54" s="18">
        <f t="shared" si="40"/>
        <v>0.64999999999999991</v>
      </c>
      <c r="C54" s="19">
        <f t="shared" si="44"/>
        <v>375.08500215796261</v>
      </c>
      <c r="D54" s="18">
        <f t="shared" si="45"/>
        <v>4.5566384003560598</v>
      </c>
      <c r="E54" s="18">
        <f t="shared" si="46"/>
        <v>9.3644146086868663</v>
      </c>
      <c r="G54" s="20">
        <f t="shared" si="47"/>
        <v>0.65962520410732317</v>
      </c>
      <c r="H54" s="21">
        <f t="shared" si="41"/>
        <v>380</v>
      </c>
      <c r="I54" s="20">
        <f t="shared" si="48"/>
        <v>4.6143896249999994</v>
      </c>
      <c r="J54" s="20">
        <f t="shared" si="49"/>
        <v>9.5569186908333332</v>
      </c>
      <c r="L54" s="17">
        <f t="shared" si="50"/>
        <v>0.54889359994065667</v>
      </c>
      <c r="M54" s="14">
        <f t="shared" si="51"/>
        <v>323.45620212765965</v>
      </c>
      <c r="N54" s="13">
        <f t="shared" si="42"/>
        <v>3.9499999999999997</v>
      </c>
      <c r="O54" s="13">
        <f t="shared" si="52"/>
        <v>7.3422866075000011</v>
      </c>
      <c r="Q54" s="36">
        <f t="shared" si="53"/>
        <v>0.6342792695656565</v>
      </c>
      <c r="R54" s="10">
        <f t="shared" si="54"/>
        <v>367.05739512765956</v>
      </c>
      <c r="S54" s="9">
        <f t="shared" si="55"/>
        <v>4.4623140177499998</v>
      </c>
      <c r="T54" s="9">
        <f t="shared" si="43"/>
        <v>9.0500000000000007</v>
      </c>
    </row>
    <row r="55" spans="2:20" ht="13.5" thickBot="1" x14ac:dyDescent="0.25">
      <c r="B55" s="18">
        <f>B56-0.025</f>
        <v>0.67499999999999993</v>
      </c>
      <c r="C55" s="19">
        <f t="shared" si="44"/>
        <v>387.85095960477105</v>
      </c>
      <c r="D55" s="18">
        <f t="shared" si="45"/>
        <v>4.7066384003560593</v>
      </c>
      <c r="E55" s="18">
        <f t="shared" si="46"/>
        <v>9.8644146086868663</v>
      </c>
      <c r="G55" s="20">
        <f t="shared" si="47"/>
        <v>0.67920853744065657</v>
      </c>
      <c r="H55" s="21">
        <f>H56-10</f>
        <v>390</v>
      </c>
      <c r="I55" s="20">
        <f t="shared" si="48"/>
        <v>4.7318896249999991</v>
      </c>
      <c r="J55" s="20">
        <f t="shared" si="49"/>
        <v>9.9485853575000007</v>
      </c>
      <c r="L55" s="17">
        <f t="shared" si="50"/>
        <v>0.57389359994065647</v>
      </c>
      <c r="M55" s="14">
        <f t="shared" si="51"/>
        <v>336.22215957446809</v>
      </c>
      <c r="N55" s="13">
        <f>N56-0.15</f>
        <v>4.0999999999999996</v>
      </c>
      <c r="O55" s="13">
        <f t="shared" si="52"/>
        <v>7.8422866074999993</v>
      </c>
      <c r="Q55" s="36">
        <f t="shared" si="53"/>
        <v>0.65177926956565646</v>
      </c>
      <c r="R55" s="10">
        <f t="shared" si="54"/>
        <v>375.99356534042556</v>
      </c>
      <c r="S55" s="9">
        <f t="shared" si="55"/>
        <v>4.5673140177500002</v>
      </c>
      <c r="T55" s="9">
        <f>T56-0.35</f>
        <v>9.4</v>
      </c>
    </row>
    <row r="56" spans="2:20" ht="13.5" thickBot="1" x14ac:dyDescent="0.25">
      <c r="B56" s="24">
        <f>Conventional!$B$8</f>
        <v>0.7</v>
      </c>
      <c r="C56" s="19">
        <f t="shared" si="44"/>
        <v>400.61691705157966</v>
      </c>
      <c r="D56" s="18">
        <f t="shared" si="45"/>
        <v>4.8566384003560605</v>
      </c>
      <c r="E56" s="18">
        <f t="shared" si="46"/>
        <v>10.36441460868687</v>
      </c>
      <c r="G56" s="20">
        <f t="shared" si="47"/>
        <v>0.69879187077398985</v>
      </c>
      <c r="H56" s="22">
        <f>Conventional!$D$8</f>
        <v>400</v>
      </c>
      <c r="I56" s="20">
        <f t="shared" si="48"/>
        <v>4.8493896249999997</v>
      </c>
      <c r="J56" s="20">
        <f t="shared" si="49"/>
        <v>10.340252024166666</v>
      </c>
      <c r="L56" s="17">
        <f t="shared" si="50"/>
        <v>0.59889359994065661</v>
      </c>
      <c r="M56" s="14">
        <f t="shared" si="51"/>
        <v>348.98811702127665</v>
      </c>
      <c r="N56" s="15">
        <f>Conventional!$F$8</f>
        <v>4.25</v>
      </c>
      <c r="O56" s="13">
        <f t="shared" si="52"/>
        <v>8.3422866075000019</v>
      </c>
      <c r="Q56" s="36">
        <f t="shared" si="53"/>
        <v>0.66927926956565653</v>
      </c>
      <c r="R56" s="10">
        <f t="shared" si="54"/>
        <v>384.92973555319151</v>
      </c>
      <c r="S56" s="9">
        <f t="shared" si="55"/>
        <v>4.6723140177499998</v>
      </c>
      <c r="T56" s="11">
        <f>Conventional!$H$8</f>
        <v>9.75</v>
      </c>
    </row>
    <row r="57" spans="2:20" x14ac:dyDescent="0.2">
      <c r="B57" s="18">
        <f>B56+0.025</f>
        <v>0.72499999999999998</v>
      </c>
      <c r="C57" s="19">
        <f t="shared" si="44"/>
        <v>413.38287449838816</v>
      </c>
      <c r="D57" s="18">
        <f t="shared" si="45"/>
        <v>5.00663840035606</v>
      </c>
      <c r="E57" s="18">
        <f t="shared" si="46"/>
        <v>10.86441460868687</v>
      </c>
      <c r="G57" s="20">
        <f t="shared" si="47"/>
        <v>0.71837520410732314</v>
      </c>
      <c r="H57" s="21">
        <f>H56+10</f>
        <v>410</v>
      </c>
      <c r="I57" s="20">
        <f t="shared" si="48"/>
        <v>4.9668896249999994</v>
      </c>
      <c r="J57" s="20">
        <f t="shared" si="49"/>
        <v>10.731918690833334</v>
      </c>
      <c r="L57" s="17">
        <f t="shared" si="50"/>
        <v>0.62389359994065674</v>
      </c>
      <c r="M57" s="14">
        <f t="shared" si="51"/>
        <v>361.75407446808521</v>
      </c>
      <c r="N57" s="13">
        <f>N56+0.15</f>
        <v>4.4000000000000004</v>
      </c>
      <c r="O57" s="13">
        <f t="shared" si="52"/>
        <v>8.8422866075000037</v>
      </c>
      <c r="Q57" s="36">
        <f t="shared" si="53"/>
        <v>0.68677926956565649</v>
      </c>
      <c r="R57" s="10">
        <f t="shared" si="54"/>
        <v>393.86590576595745</v>
      </c>
      <c r="S57" s="9">
        <f t="shared" si="55"/>
        <v>4.7773140177500002</v>
      </c>
      <c r="T57" s="9">
        <f>T56+0.35</f>
        <v>10.1</v>
      </c>
    </row>
    <row r="58" spans="2:20" x14ac:dyDescent="0.2">
      <c r="B58" s="18">
        <f t="shared" ref="B58:B63" si="56">B57+0.025</f>
        <v>0.75</v>
      </c>
      <c r="C58" s="19">
        <f t="shared" si="44"/>
        <v>426.14883194519666</v>
      </c>
      <c r="D58" s="18">
        <f t="shared" si="45"/>
        <v>5.1566384003560595</v>
      </c>
      <c r="E58" s="18">
        <f t="shared" si="46"/>
        <v>11.36441460868687</v>
      </c>
      <c r="G58" s="20">
        <f t="shared" si="47"/>
        <v>0.73795853744065654</v>
      </c>
      <c r="H58" s="21">
        <f t="shared" ref="H58:H63" si="57">H57+10</f>
        <v>420</v>
      </c>
      <c r="I58" s="20">
        <f t="shared" si="48"/>
        <v>5.0843896249999991</v>
      </c>
      <c r="J58" s="20">
        <f t="shared" si="49"/>
        <v>11.1235853575</v>
      </c>
      <c r="L58" s="17">
        <f t="shared" si="50"/>
        <v>0.64889359994065676</v>
      </c>
      <c r="M58" s="14">
        <f t="shared" si="51"/>
        <v>374.52003191489371</v>
      </c>
      <c r="N58" s="13">
        <f t="shared" ref="N58:N63" si="58">N57+0.15</f>
        <v>4.5500000000000007</v>
      </c>
      <c r="O58" s="13">
        <f t="shared" si="52"/>
        <v>9.3422866075000037</v>
      </c>
      <c r="Q58" s="36">
        <f t="shared" si="53"/>
        <v>0.70427926956565656</v>
      </c>
      <c r="R58" s="10">
        <f t="shared" si="54"/>
        <v>402.80207597872339</v>
      </c>
      <c r="S58" s="9">
        <f t="shared" si="55"/>
        <v>4.8823140177499997</v>
      </c>
      <c r="T58" s="9">
        <f t="shared" ref="T58:T63" si="59">T57+0.35</f>
        <v>10.45</v>
      </c>
    </row>
    <row r="59" spans="2:20" x14ac:dyDescent="0.2">
      <c r="B59" s="18">
        <f t="shared" si="56"/>
        <v>0.77500000000000002</v>
      </c>
      <c r="C59" s="19">
        <f t="shared" si="44"/>
        <v>438.91478939200516</v>
      </c>
      <c r="D59" s="18">
        <f t="shared" si="45"/>
        <v>5.3066384003560598</v>
      </c>
      <c r="E59" s="18">
        <f t="shared" si="46"/>
        <v>11.86441460868687</v>
      </c>
      <c r="G59" s="20">
        <f t="shared" si="47"/>
        <v>0.75754187077398982</v>
      </c>
      <c r="H59" s="21">
        <f t="shared" si="57"/>
        <v>430</v>
      </c>
      <c r="I59" s="20">
        <f t="shared" si="48"/>
        <v>5.2018896249999989</v>
      </c>
      <c r="J59" s="20">
        <f t="shared" si="49"/>
        <v>11.515252024166667</v>
      </c>
      <c r="L59" s="17">
        <f t="shared" si="50"/>
        <v>0.67389359994065678</v>
      </c>
      <c r="M59" s="14">
        <f t="shared" si="51"/>
        <v>387.28598936170226</v>
      </c>
      <c r="N59" s="13">
        <f t="shared" si="58"/>
        <v>4.7000000000000011</v>
      </c>
      <c r="O59" s="13">
        <f t="shared" si="52"/>
        <v>9.8422866075000037</v>
      </c>
      <c r="Q59" s="36">
        <f t="shared" si="53"/>
        <v>0.72177926956565652</v>
      </c>
      <c r="R59" s="10">
        <f t="shared" si="54"/>
        <v>411.73824619148934</v>
      </c>
      <c r="S59" s="9">
        <f t="shared" si="55"/>
        <v>4.9873140177499984</v>
      </c>
      <c r="T59" s="9">
        <f t="shared" si="59"/>
        <v>10.799999999999999</v>
      </c>
    </row>
    <row r="60" spans="2:20" x14ac:dyDescent="0.2">
      <c r="B60" s="18">
        <f t="shared" si="56"/>
        <v>0.8</v>
      </c>
      <c r="C60" s="19">
        <f t="shared" si="44"/>
        <v>451.68074683881372</v>
      </c>
      <c r="D60" s="18">
        <f t="shared" si="45"/>
        <v>5.4566384003560593</v>
      </c>
      <c r="E60" s="18">
        <f t="shared" si="46"/>
        <v>12.36441460868687</v>
      </c>
      <c r="G60" s="20">
        <f t="shared" si="47"/>
        <v>0.77712520410732322</v>
      </c>
      <c r="H60" s="21">
        <f t="shared" si="57"/>
        <v>440</v>
      </c>
      <c r="I60" s="20">
        <f t="shared" si="48"/>
        <v>5.3193896249999986</v>
      </c>
      <c r="J60" s="20">
        <f t="shared" si="49"/>
        <v>11.906918690833333</v>
      </c>
      <c r="L60" s="17">
        <f t="shared" si="50"/>
        <v>0.69889359994065681</v>
      </c>
      <c r="M60" s="14">
        <f t="shared" si="51"/>
        <v>400.05194680851082</v>
      </c>
      <c r="N60" s="13">
        <f t="shared" si="58"/>
        <v>4.8500000000000014</v>
      </c>
      <c r="O60" s="13">
        <f t="shared" si="52"/>
        <v>10.342286607500004</v>
      </c>
      <c r="Q60" s="36">
        <f t="shared" si="53"/>
        <v>0.73927926956565648</v>
      </c>
      <c r="R60" s="10">
        <f t="shared" si="54"/>
        <v>420.67441640425528</v>
      </c>
      <c r="S60" s="9">
        <f t="shared" si="55"/>
        <v>5.0923140177499988</v>
      </c>
      <c r="T60" s="9">
        <f t="shared" si="59"/>
        <v>11.149999999999999</v>
      </c>
    </row>
    <row r="61" spans="2:20" x14ac:dyDescent="0.2">
      <c r="B61" s="18">
        <f t="shared" si="56"/>
        <v>0.82500000000000007</v>
      </c>
      <c r="C61" s="19">
        <f t="shared" si="44"/>
        <v>464.44670428562216</v>
      </c>
      <c r="D61" s="18">
        <f t="shared" si="45"/>
        <v>5.6066384003560605</v>
      </c>
      <c r="E61" s="18">
        <f t="shared" si="46"/>
        <v>12.86441460868687</v>
      </c>
      <c r="G61" s="20">
        <f t="shared" si="47"/>
        <v>0.79670853744065651</v>
      </c>
      <c r="H61" s="21">
        <f t="shared" si="57"/>
        <v>450</v>
      </c>
      <c r="I61" s="20">
        <f t="shared" si="48"/>
        <v>5.4368896249999992</v>
      </c>
      <c r="J61" s="20">
        <f t="shared" si="49"/>
        <v>12.2985853575</v>
      </c>
      <c r="L61" s="17">
        <f t="shared" si="50"/>
        <v>0.72389359994065694</v>
      </c>
      <c r="M61" s="14">
        <f t="shared" si="51"/>
        <v>412.81790425531932</v>
      </c>
      <c r="N61" s="13">
        <f t="shared" si="58"/>
        <v>5.0000000000000018</v>
      </c>
      <c r="O61" s="13">
        <f t="shared" si="52"/>
        <v>10.842286607500007</v>
      </c>
      <c r="Q61" s="36">
        <f t="shared" si="53"/>
        <v>0.75677926956565655</v>
      </c>
      <c r="R61" s="10">
        <f t="shared" si="54"/>
        <v>429.61058661702128</v>
      </c>
      <c r="S61" s="9">
        <f t="shared" si="55"/>
        <v>5.1973140177499992</v>
      </c>
      <c r="T61" s="9">
        <f t="shared" si="59"/>
        <v>11.499999999999998</v>
      </c>
    </row>
    <row r="62" spans="2:20" x14ac:dyDescent="0.2">
      <c r="B62" s="18">
        <f t="shared" si="56"/>
        <v>0.85000000000000009</v>
      </c>
      <c r="C62" s="19">
        <f t="shared" si="44"/>
        <v>477.21266173243072</v>
      </c>
      <c r="D62" s="18">
        <f t="shared" si="45"/>
        <v>5.7566384003560609</v>
      </c>
      <c r="E62" s="18">
        <f t="shared" si="46"/>
        <v>13.36441460868687</v>
      </c>
      <c r="G62" s="20">
        <f t="shared" si="47"/>
        <v>0.8162918707739899</v>
      </c>
      <c r="H62" s="21">
        <f t="shared" si="57"/>
        <v>460</v>
      </c>
      <c r="I62" s="20">
        <f t="shared" si="48"/>
        <v>5.5543896249999989</v>
      </c>
      <c r="J62" s="20">
        <f t="shared" si="49"/>
        <v>12.690252024166666</v>
      </c>
      <c r="L62" s="17">
        <f t="shared" si="50"/>
        <v>0.74889359994065696</v>
      </c>
      <c r="M62" s="14">
        <f t="shared" si="51"/>
        <v>425.58386170212793</v>
      </c>
      <c r="N62" s="13">
        <f t="shared" si="58"/>
        <v>5.1500000000000021</v>
      </c>
      <c r="O62" s="13">
        <f t="shared" si="52"/>
        <v>11.342286607500007</v>
      </c>
      <c r="Q62" s="36">
        <f t="shared" si="53"/>
        <v>0.77427926956565651</v>
      </c>
      <c r="R62" s="10">
        <f t="shared" si="54"/>
        <v>438.54675682978723</v>
      </c>
      <c r="S62" s="9">
        <f t="shared" si="55"/>
        <v>5.3023140177499988</v>
      </c>
      <c r="T62" s="9">
        <f t="shared" si="59"/>
        <v>11.849999999999998</v>
      </c>
    </row>
    <row r="63" spans="2:20" x14ac:dyDescent="0.2">
      <c r="B63" s="18">
        <f t="shared" si="56"/>
        <v>0.87500000000000011</v>
      </c>
      <c r="C63" s="19">
        <f t="shared" si="44"/>
        <v>489.97861917923927</v>
      </c>
      <c r="D63" s="18">
        <f t="shared" si="45"/>
        <v>5.9066384003560621</v>
      </c>
      <c r="E63" s="18">
        <f t="shared" si="46"/>
        <v>13.864414608686873</v>
      </c>
      <c r="G63" s="20">
        <f t="shared" si="47"/>
        <v>0.83587520410732319</v>
      </c>
      <c r="H63" s="21">
        <f t="shared" si="57"/>
        <v>470</v>
      </c>
      <c r="I63" s="20">
        <f t="shared" si="48"/>
        <v>5.6718896249999986</v>
      </c>
      <c r="J63" s="20">
        <f t="shared" si="49"/>
        <v>13.081918690833334</v>
      </c>
      <c r="L63" s="17">
        <f t="shared" si="50"/>
        <v>0.77389359994065698</v>
      </c>
      <c r="M63" s="14">
        <f t="shared" si="51"/>
        <v>438.34981914893643</v>
      </c>
      <c r="N63" s="13">
        <f t="shared" si="58"/>
        <v>5.3000000000000025</v>
      </c>
      <c r="O63" s="13">
        <f t="shared" si="52"/>
        <v>11.842286607500007</v>
      </c>
      <c r="Q63" s="36">
        <f t="shared" si="53"/>
        <v>0.79177926956565647</v>
      </c>
      <c r="R63" s="10">
        <f t="shared" si="54"/>
        <v>447.48292704255317</v>
      </c>
      <c r="S63" s="9">
        <f t="shared" si="55"/>
        <v>5.4073140177499992</v>
      </c>
      <c r="T63" s="9">
        <f t="shared" si="59"/>
        <v>12.199999999999998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72</v>
      </c>
      <c r="B66" s="57">
        <f>'Strip-Till'!L$31</f>
        <v>447.51518742424247</v>
      </c>
      <c r="C66" s="57">
        <f>'Strip-Till'!N$31</f>
        <v>546.16747499999997</v>
      </c>
      <c r="D66" s="57">
        <f>'Strip-Till'!P$31</f>
        <v>330.23412896249999</v>
      </c>
      <c r="E66" s="57">
        <f>'Strip-Till'!R$31</f>
        <v>246.99462935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417" t="s">
        <v>74</v>
      </c>
      <c r="C68" s="417"/>
      <c r="D68" s="417"/>
      <c r="E68" s="417"/>
      <c r="F68" s="29"/>
      <c r="G68" s="418" t="s">
        <v>75</v>
      </c>
      <c r="H68" s="418"/>
      <c r="I68" s="418"/>
      <c r="J68" s="418"/>
      <c r="K68" s="29"/>
      <c r="L68" s="419" t="s">
        <v>76</v>
      </c>
      <c r="M68" s="419"/>
      <c r="N68" s="419"/>
      <c r="O68" s="419"/>
      <c r="P68" s="29"/>
      <c r="Q68" s="420" t="s">
        <v>77</v>
      </c>
      <c r="R68" s="420"/>
      <c r="S68" s="420"/>
      <c r="T68" s="420"/>
    </row>
    <row r="69" spans="1:20" ht="38.25" x14ac:dyDescent="0.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2">
      <c r="B70" s="18">
        <f t="shared" ref="B70:B75" si="60">B71-0.025</f>
        <v>0.5249999999999998</v>
      </c>
      <c r="C70" s="19">
        <f>(((B70*$B$67)-$B$66+$C$66)/$C$67)*2000</f>
        <v>289.64840445632785</v>
      </c>
      <c r="D70" s="18">
        <f>(((B70*$B$67)-$B$66+$D$66)/$D$67)</f>
        <v>3.2525757828030275</v>
      </c>
      <c r="E70" s="18">
        <f>(((B70*$B$67)-$B$66+$E$66)/$E$67)</f>
        <v>6.4409813975252455</v>
      </c>
      <c r="G70" s="20">
        <f>(((H70*$C$67/2000)-$C$66+$B$66)/$B$67)</f>
        <v>0.61646361656565662</v>
      </c>
      <c r="H70" s="21">
        <f t="shared" ref="H70:H75" si="61">H71-10</f>
        <v>330</v>
      </c>
      <c r="I70" s="20">
        <f>(((H70*$C$67/2000)-$C$66+$D$66)/$D$67)</f>
        <v>4.0596076936764707</v>
      </c>
      <c r="J70" s="20">
        <f>(((H70*$C$67/2000)-$C$66+$E$66)/$E$67)</f>
        <v>8.7275718116666674</v>
      </c>
      <c r="L70" s="17">
        <f>(((N70*$D$67)-$D$66+$B$66)/$B$67)</f>
        <v>0.51904141128232328</v>
      </c>
      <c r="M70" s="14">
        <f>(((N70*$D$67)-$D$66+$C$66)/$C$67)*2000</f>
        <v>287.0196153161765</v>
      </c>
      <c r="N70" s="13">
        <f t="shared" ref="N70:N75" si="62">N71-0.15</f>
        <v>3.2</v>
      </c>
      <c r="O70" s="13">
        <f>(((N70*$D$67)-$D$66+$E$66)/$E$67)</f>
        <v>6.292016679583333</v>
      </c>
      <c r="Q70" s="9">
        <f>(((T70*$E$67)-$E$66+$B$66)/$B$67)</f>
        <v>0.55936074409899006</v>
      </c>
      <c r="R70" s="10">
        <f>(((T70*$E$67)-$E$66+$C$66)/$C$67)*2000</f>
        <v>304.80755626470591</v>
      </c>
      <c r="S70" s="9">
        <f>(((T70*$E$67)-$E$66+$D$66)/$D$67)</f>
        <v>3.5557588189705891</v>
      </c>
      <c r="T70" s="9">
        <f t="shared" ref="T70:T75" si="63">T71-0.35</f>
        <v>7.3000000000000025</v>
      </c>
    </row>
    <row r="71" spans="1:20" x14ac:dyDescent="0.2">
      <c r="B71" s="18">
        <f t="shared" si="60"/>
        <v>0.54999999999999982</v>
      </c>
      <c r="C71" s="19">
        <f t="shared" ref="C71:C84" si="64">(((B71*$B$67)-$B$66+$C$66)/$C$67)*2000</f>
        <v>300.67781622103371</v>
      </c>
      <c r="D71" s="18">
        <f t="shared" ref="D71:D84" si="65">(((B71*$B$67)-$B$66+$D$66)/$D$67)</f>
        <v>3.4731640180971461</v>
      </c>
      <c r="E71" s="18">
        <f t="shared" ref="E71:E84" si="66">(((B71*$B$67)-$B$66+$E$66)/$E$67)</f>
        <v>7.0659813975252472</v>
      </c>
      <c r="G71" s="20">
        <f t="shared" ref="G71:G84" si="67">(((H71*$C$67/2000)-$C$66+$B$66)/$B$67)</f>
        <v>0.63913028323232335</v>
      </c>
      <c r="H71" s="21">
        <f t="shared" si="61"/>
        <v>340</v>
      </c>
      <c r="I71" s="20">
        <f t="shared" ref="I71:I84" si="68">(((H71*$C$67/2000)-$C$66+$D$66)/$D$67)</f>
        <v>4.2596076936764709</v>
      </c>
      <c r="J71" s="20">
        <f t="shared" ref="J71:J84" si="69">(((H71*$C$67/2000)-$C$66+$E$66)/$E$67)</f>
        <v>9.2942384783333338</v>
      </c>
      <c r="L71" s="17">
        <f t="shared" ref="L71:L84" si="70">(((N71*$D$67)-$D$66+$B$66)/$B$67)</f>
        <v>0.5360414112823233</v>
      </c>
      <c r="M71" s="14">
        <f t="shared" ref="M71:M84" si="71">(((N71*$D$67)-$D$66+$C$66)/$C$67)*2000</f>
        <v>294.51961531617644</v>
      </c>
      <c r="N71" s="13">
        <f t="shared" si="62"/>
        <v>3.35</v>
      </c>
      <c r="O71" s="13">
        <f t="shared" ref="O71:O84" si="72">(((N71*$D$67)-$D$66+$E$66)/$E$67)</f>
        <v>6.7170166795833337</v>
      </c>
      <c r="Q71" s="9">
        <f t="shared" ref="Q71:Q84" si="73">(((T71*$E$67)-$E$66+$B$66)/$B$67)</f>
        <v>0.57336074409899007</v>
      </c>
      <c r="R71" s="10">
        <f t="shared" ref="R71:R84" si="74">(((T71*$E$67)-$E$66+$C$66)/$C$67)*2000</f>
        <v>310.98402685294121</v>
      </c>
      <c r="S71" s="9">
        <f t="shared" ref="S71:S84" si="75">(((T71*$E$67)-$E$66+$D$66)/$D$67)</f>
        <v>3.6792882307352945</v>
      </c>
      <c r="T71" s="9">
        <f t="shared" si="63"/>
        <v>7.6500000000000021</v>
      </c>
    </row>
    <row r="72" spans="1:20" x14ac:dyDescent="0.2">
      <c r="B72" s="18">
        <f t="shared" si="60"/>
        <v>0.57499999999999984</v>
      </c>
      <c r="C72" s="19">
        <f t="shared" si="64"/>
        <v>311.70722798573956</v>
      </c>
      <c r="D72" s="18">
        <f t="shared" si="65"/>
        <v>3.6937522533912635</v>
      </c>
      <c r="E72" s="18">
        <f t="shared" si="66"/>
        <v>7.6909813975252472</v>
      </c>
      <c r="G72" s="20">
        <f t="shared" si="67"/>
        <v>0.66179694989898996</v>
      </c>
      <c r="H72" s="21">
        <f t="shared" si="61"/>
        <v>350</v>
      </c>
      <c r="I72" s="20">
        <f t="shared" si="68"/>
        <v>4.459607693676471</v>
      </c>
      <c r="J72" s="20">
        <f t="shared" si="69"/>
        <v>9.8609051450000003</v>
      </c>
      <c r="L72" s="17">
        <f t="shared" si="70"/>
        <v>0.55304141128232331</v>
      </c>
      <c r="M72" s="14">
        <f t="shared" si="71"/>
        <v>302.01961531617644</v>
      </c>
      <c r="N72" s="13">
        <f t="shared" si="62"/>
        <v>3.5</v>
      </c>
      <c r="O72" s="13">
        <f t="shared" si="72"/>
        <v>7.1420166795833335</v>
      </c>
      <c r="Q72" s="9">
        <f t="shared" si="73"/>
        <v>0.58736074409899008</v>
      </c>
      <c r="R72" s="10">
        <f t="shared" si="74"/>
        <v>317.16049744117646</v>
      </c>
      <c r="S72" s="9">
        <f t="shared" si="75"/>
        <v>3.8028176425000004</v>
      </c>
      <c r="T72" s="9">
        <f t="shared" si="63"/>
        <v>8.0000000000000018</v>
      </c>
    </row>
    <row r="73" spans="1:20" x14ac:dyDescent="0.2">
      <c r="B73" s="18">
        <f t="shared" si="60"/>
        <v>0.59999999999999987</v>
      </c>
      <c r="C73" s="19">
        <f t="shared" si="64"/>
        <v>322.73663975044548</v>
      </c>
      <c r="D73" s="18">
        <f t="shared" si="65"/>
        <v>3.9143404886853812</v>
      </c>
      <c r="E73" s="18">
        <f t="shared" si="66"/>
        <v>8.3159813975252472</v>
      </c>
      <c r="G73" s="20">
        <f t="shared" si="67"/>
        <v>0.68446361656565657</v>
      </c>
      <c r="H73" s="21">
        <f t="shared" si="61"/>
        <v>360</v>
      </c>
      <c r="I73" s="20">
        <f t="shared" si="68"/>
        <v>4.6596076936764712</v>
      </c>
      <c r="J73" s="20">
        <f t="shared" si="69"/>
        <v>10.427571811666667</v>
      </c>
      <c r="L73" s="17">
        <f t="shared" si="70"/>
        <v>0.57004141128232333</v>
      </c>
      <c r="M73" s="14">
        <f t="shared" si="71"/>
        <v>309.51961531617644</v>
      </c>
      <c r="N73" s="13">
        <f t="shared" si="62"/>
        <v>3.65</v>
      </c>
      <c r="O73" s="13">
        <f t="shared" si="72"/>
        <v>7.5670166795833333</v>
      </c>
      <c r="Q73" s="9">
        <f t="shared" si="73"/>
        <v>0.6013607440989901</v>
      </c>
      <c r="R73" s="10">
        <f t="shared" si="74"/>
        <v>323.33696802941176</v>
      </c>
      <c r="S73" s="9">
        <f t="shared" si="75"/>
        <v>3.9263470542647063</v>
      </c>
      <c r="T73" s="9">
        <f t="shared" si="63"/>
        <v>8.3500000000000014</v>
      </c>
    </row>
    <row r="74" spans="1:20" x14ac:dyDescent="0.2">
      <c r="B74" s="18">
        <f t="shared" si="60"/>
        <v>0.62499999999999989</v>
      </c>
      <c r="C74" s="19">
        <f t="shared" si="64"/>
        <v>333.76605151515145</v>
      </c>
      <c r="D74" s="18">
        <f t="shared" si="65"/>
        <v>4.1349287239794998</v>
      </c>
      <c r="E74" s="18">
        <f t="shared" si="66"/>
        <v>8.9409813975252472</v>
      </c>
      <c r="G74" s="20">
        <f t="shared" si="67"/>
        <v>0.7071302832323233</v>
      </c>
      <c r="H74" s="21">
        <f t="shared" si="61"/>
        <v>370</v>
      </c>
      <c r="I74" s="20">
        <f t="shared" si="68"/>
        <v>4.8596076936764705</v>
      </c>
      <c r="J74" s="20">
        <f t="shared" si="69"/>
        <v>10.994238478333333</v>
      </c>
      <c r="L74" s="17">
        <f t="shared" si="70"/>
        <v>0.58704141128232334</v>
      </c>
      <c r="M74" s="14">
        <f t="shared" si="71"/>
        <v>317.01961531617644</v>
      </c>
      <c r="N74" s="13">
        <f t="shared" si="62"/>
        <v>3.8</v>
      </c>
      <c r="O74" s="13">
        <f t="shared" si="72"/>
        <v>7.9920166795833332</v>
      </c>
      <c r="Q74" s="9">
        <f t="shared" si="73"/>
        <v>0.61536074409899011</v>
      </c>
      <c r="R74" s="10">
        <f t="shared" si="74"/>
        <v>329.51343861764701</v>
      </c>
      <c r="S74" s="9">
        <f t="shared" si="75"/>
        <v>4.0498764660294118</v>
      </c>
      <c r="T74" s="9">
        <f t="shared" si="63"/>
        <v>8.7000000000000011</v>
      </c>
    </row>
    <row r="75" spans="1:20" x14ac:dyDescent="0.2">
      <c r="B75" s="18">
        <f t="shared" si="60"/>
        <v>0.64999999999999991</v>
      </c>
      <c r="C75" s="19">
        <f t="shared" si="64"/>
        <v>344.7954632798573</v>
      </c>
      <c r="D75" s="18">
        <f t="shared" si="65"/>
        <v>4.3555169592736176</v>
      </c>
      <c r="E75" s="18">
        <f t="shared" si="66"/>
        <v>9.5659813975252472</v>
      </c>
      <c r="G75" s="20">
        <f t="shared" si="67"/>
        <v>0.72979694989898991</v>
      </c>
      <c r="H75" s="21">
        <f t="shared" si="61"/>
        <v>380</v>
      </c>
      <c r="I75" s="20">
        <f t="shared" si="68"/>
        <v>5.0596076936764707</v>
      </c>
      <c r="J75" s="20">
        <f t="shared" si="69"/>
        <v>11.560905145</v>
      </c>
      <c r="L75" s="17">
        <f t="shared" si="70"/>
        <v>0.60404141128232325</v>
      </c>
      <c r="M75" s="14">
        <f t="shared" si="71"/>
        <v>324.51961531617644</v>
      </c>
      <c r="N75" s="13">
        <f t="shared" si="62"/>
        <v>3.9499999999999997</v>
      </c>
      <c r="O75" s="13">
        <f t="shared" si="72"/>
        <v>8.4170166795833339</v>
      </c>
      <c r="Q75" s="9">
        <f t="shared" si="73"/>
        <v>0.6293607440989899</v>
      </c>
      <c r="R75" s="10">
        <f t="shared" si="74"/>
        <v>335.68990920588237</v>
      </c>
      <c r="S75" s="9">
        <f t="shared" si="75"/>
        <v>4.1734058777941181</v>
      </c>
      <c r="T75" s="9">
        <f t="shared" si="63"/>
        <v>9.0500000000000007</v>
      </c>
    </row>
    <row r="76" spans="1:20" ht="13.5" thickBot="1" x14ac:dyDescent="0.25">
      <c r="B76" s="18">
        <f>B77-0.025</f>
        <v>0.67499999999999993</v>
      </c>
      <c r="C76" s="19">
        <f t="shared" si="64"/>
        <v>355.82487504456321</v>
      </c>
      <c r="D76" s="18">
        <f t="shared" si="65"/>
        <v>4.5761051945677353</v>
      </c>
      <c r="E76" s="18">
        <f t="shared" si="66"/>
        <v>10.190981397525247</v>
      </c>
      <c r="G76" s="20">
        <f t="shared" si="67"/>
        <v>0.75246361656565663</v>
      </c>
      <c r="H76" s="21">
        <f>H77-10</f>
        <v>390</v>
      </c>
      <c r="I76" s="20">
        <f t="shared" si="68"/>
        <v>5.2596076936764709</v>
      </c>
      <c r="J76" s="20">
        <f t="shared" si="69"/>
        <v>12.127571811666666</v>
      </c>
      <c r="L76" s="17">
        <f t="shared" si="70"/>
        <v>0.62104141128232326</v>
      </c>
      <c r="M76" s="14">
        <f t="shared" si="71"/>
        <v>332.01961531617638</v>
      </c>
      <c r="N76" s="13">
        <f>N77-0.15</f>
        <v>4.0999999999999996</v>
      </c>
      <c r="O76" s="13">
        <f t="shared" si="72"/>
        <v>8.8420166795833328</v>
      </c>
      <c r="Q76" s="9">
        <f t="shared" si="73"/>
        <v>0.64336074409898991</v>
      </c>
      <c r="R76" s="10">
        <f t="shared" si="74"/>
        <v>341.86637979411768</v>
      </c>
      <c r="S76" s="9">
        <f t="shared" si="75"/>
        <v>4.2969352895588235</v>
      </c>
      <c r="T76" s="9">
        <f>T77-0.35</f>
        <v>9.4</v>
      </c>
    </row>
    <row r="77" spans="1:20" ht="13.5" thickBot="1" x14ac:dyDescent="0.25">
      <c r="B77" s="24">
        <f>Conventional!$B$8</f>
        <v>0.7</v>
      </c>
      <c r="C77" s="19">
        <f t="shared" si="64"/>
        <v>366.85428680926913</v>
      </c>
      <c r="D77" s="18">
        <f t="shared" si="65"/>
        <v>4.7966934298618531</v>
      </c>
      <c r="E77" s="18">
        <f t="shared" si="66"/>
        <v>10.815981397525253</v>
      </c>
      <c r="G77" s="20">
        <f t="shared" si="67"/>
        <v>0.77513028323232325</v>
      </c>
      <c r="H77" s="22">
        <f>Conventional!$D$8</f>
        <v>400</v>
      </c>
      <c r="I77" s="20">
        <f t="shared" si="68"/>
        <v>5.459607693676471</v>
      </c>
      <c r="J77" s="20">
        <f t="shared" si="69"/>
        <v>12.694238478333334</v>
      </c>
      <c r="L77" s="17">
        <f t="shared" si="70"/>
        <v>0.63804141128232328</v>
      </c>
      <c r="M77" s="14">
        <f t="shared" si="71"/>
        <v>339.5196153161765</v>
      </c>
      <c r="N77" s="15">
        <f>Conventional!$F$8</f>
        <v>4.25</v>
      </c>
      <c r="O77" s="13">
        <f t="shared" si="72"/>
        <v>9.2670166795833318</v>
      </c>
      <c r="Q77" s="9">
        <f t="shared" si="73"/>
        <v>0.65736074409898992</v>
      </c>
      <c r="R77" s="10">
        <f t="shared" si="74"/>
        <v>348.04285038235292</v>
      </c>
      <c r="S77" s="9">
        <f t="shared" si="75"/>
        <v>4.4204647013235299</v>
      </c>
      <c r="T77" s="11">
        <f>Conventional!$H$8</f>
        <v>9.75</v>
      </c>
    </row>
    <row r="78" spans="1:20" x14ac:dyDescent="0.2">
      <c r="B78" s="18">
        <f>B77+0.025</f>
        <v>0.72499999999999998</v>
      </c>
      <c r="C78" s="19">
        <f t="shared" si="64"/>
        <v>377.88369857397504</v>
      </c>
      <c r="D78" s="18">
        <f t="shared" si="65"/>
        <v>5.0172816651559708</v>
      </c>
      <c r="E78" s="18">
        <f t="shared" si="66"/>
        <v>11.440981397525253</v>
      </c>
      <c r="G78" s="20">
        <f t="shared" si="67"/>
        <v>0.79779694989898997</v>
      </c>
      <c r="H78" s="21">
        <f>H77+10</f>
        <v>410</v>
      </c>
      <c r="I78" s="20">
        <f t="shared" si="68"/>
        <v>5.6596076936764712</v>
      </c>
      <c r="J78" s="20">
        <f t="shared" si="69"/>
        <v>13.260905145000001</v>
      </c>
      <c r="L78" s="17">
        <f t="shared" si="70"/>
        <v>0.6550414112823234</v>
      </c>
      <c r="M78" s="14">
        <f t="shared" si="71"/>
        <v>347.01961531617656</v>
      </c>
      <c r="N78" s="13">
        <f>N77+0.15</f>
        <v>4.4000000000000004</v>
      </c>
      <c r="O78" s="13">
        <f t="shared" si="72"/>
        <v>9.692016679583336</v>
      </c>
      <c r="Q78" s="9">
        <f t="shared" si="73"/>
        <v>0.67136074409898994</v>
      </c>
      <c r="R78" s="10">
        <f t="shared" si="74"/>
        <v>354.21932097058823</v>
      </c>
      <c r="S78" s="9">
        <f t="shared" si="75"/>
        <v>4.5439941130882353</v>
      </c>
      <c r="T78" s="9">
        <f>T77+0.35</f>
        <v>10.1</v>
      </c>
    </row>
    <row r="79" spans="1:20" x14ac:dyDescent="0.2">
      <c r="B79" s="18">
        <f t="shared" ref="B79:B84" si="76">B78+0.025</f>
        <v>0.75</v>
      </c>
      <c r="C79" s="19">
        <f t="shared" si="64"/>
        <v>388.91311033868089</v>
      </c>
      <c r="D79" s="18">
        <f t="shared" si="65"/>
        <v>5.2378699004500886</v>
      </c>
      <c r="E79" s="18">
        <f t="shared" si="66"/>
        <v>12.065981397525253</v>
      </c>
      <c r="G79" s="20">
        <f t="shared" si="67"/>
        <v>0.82046361656565658</v>
      </c>
      <c r="H79" s="21">
        <f t="shared" ref="H79:H84" si="77">H78+10</f>
        <v>420</v>
      </c>
      <c r="I79" s="20">
        <f t="shared" si="68"/>
        <v>5.8596076936764705</v>
      </c>
      <c r="J79" s="20">
        <f t="shared" si="69"/>
        <v>13.827571811666667</v>
      </c>
      <c r="L79" s="17">
        <f t="shared" si="70"/>
        <v>0.67204141128232342</v>
      </c>
      <c r="M79" s="14">
        <f t="shared" si="71"/>
        <v>354.51961531617656</v>
      </c>
      <c r="N79" s="13">
        <f t="shared" ref="N79:N84" si="78">N78+0.15</f>
        <v>4.5500000000000007</v>
      </c>
      <c r="O79" s="13">
        <f t="shared" si="72"/>
        <v>10.117016679583337</v>
      </c>
      <c r="Q79" s="9">
        <f t="shared" si="73"/>
        <v>0.68536074409898995</v>
      </c>
      <c r="R79" s="10">
        <f t="shared" si="74"/>
        <v>360.39579155882353</v>
      </c>
      <c r="S79" s="9">
        <f t="shared" si="75"/>
        <v>4.6675235248529416</v>
      </c>
      <c r="T79" s="9">
        <f t="shared" ref="T79:T84" si="79">T78+0.35</f>
        <v>10.45</v>
      </c>
    </row>
    <row r="80" spans="1:20" x14ac:dyDescent="0.2">
      <c r="B80" s="18">
        <f t="shared" si="76"/>
        <v>0.77500000000000002</v>
      </c>
      <c r="C80" s="19">
        <f t="shared" si="64"/>
        <v>399.94252210338681</v>
      </c>
      <c r="D80" s="18">
        <f t="shared" si="65"/>
        <v>5.4584581357442064</v>
      </c>
      <c r="E80" s="18">
        <f t="shared" si="66"/>
        <v>12.690981397525253</v>
      </c>
      <c r="G80" s="20">
        <f t="shared" si="67"/>
        <v>0.84313028323232331</v>
      </c>
      <c r="H80" s="21">
        <f t="shared" si="77"/>
        <v>430</v>
      </c>
      <c r="I80" s="20">
        <f t="shared" si="68"/>
        <v>6.0596076936764707</v>
      </c>
      <c r="J80" s="20">
        <f t="shared" si="69"/>
        <v>14.394238478333333</v>
      </c>
      <c r="L80" s="17">
        <f t="shared" si="70"/>
        <v>0.68904141128232332</v>
      </c>
      <c r="M80" s="14">
        <f t="shared" si="71"/>
        <v>362.01961531617656</v>
      </c>
      <c r="N80" s="13">
        <f t="shared" si="78"/>
        <v>4.7000000000000011</v>
      </c>
      <c r="O80" s="13">
        <f t="shared" si="72"/>
        <v>10.542016679583336</v>
      </c>
      <c r="Q80" s="9">
        <f t="shared" si="73"/>
        <v>0.69936074409898996</v>
      </c>
      <c r="R80" s="10">
        <f t="shared" si="74"/>
        <v>366.57226214705872</v>
      </c>
      <c r="S80" s="9">
        <f t="shared" si="75"/>
        <v>4.7910529366176462</v>
      </c>
      <c r="T80" s="9">
        <f t="shared" si="79"/>
        <v>10.799999999999999</v>
      </c>
    </row>
    <row r="81" spans="1:20" x14ac:dyDescent="0.2">
      <c r="B81" s="18">
        <f t="shared" si="76"/>
        <v>0.8</v>
      </c>
      <c r="C81" s="19">
        <f t="shared" si="64"/>
        <v>410.97193386809266</v>
      </c>
      <c r="D81" s="18">
        <f t="shared" si="65"/>
        <v>5.6790463710383241</v>
      </c>
      <c r="E81" s="18">
        <f t="shared" si="66"/>
        <v>13.315981397525253</v>
      </c>
      <c r="G81" s="20">
        <f t="shared" si="67"/>
        <v>0.86579694989898992</v>
      </c>
      <c r="H81" s="21">
        <f t="shared" si="77"/>
        <v>440</v>
      </c>
      <c r="I81" s="20">
        <f t="shared" si="68"/>
        <v>6.2596076936764709</v>
      </c>
      <c r="J81" s="20">
        <f t="shared" si="69"/>
        <v>14.960905145</v>
      </c>
      <c r="L81" s="17">
        <f t="shared" si="70"/>
        <v>0.70604141128232334</v>
      </c>
      <c r="M81" s="14">
        <f t="shared" si="71"/>
        <v>369.5196153161765</v>
      </c>
      <c r="N81" s="13">
        <f t="shared" si="78"/>
        <v>4.8500000000000014</v>
      </c>
      <c r="O81" s="13">
        <f t="shared" si="72"/>
        <v>10.967016679583336</v>
      </c>
      <c r="Q81" s="9">
        <f t="shared" si="73"/>
        <v>0.71336074409898997</v>
      </c>
      <c r="R81" s="10">
        <f t="shared" si="74"/>
        <v>372.74873273529408</v>
      </c>
      <c r="S81" s="9">
        <f t="shared" si="75"/>
        <v>4.9145823483823516</v>
      </c>
      <c r="T81" s="9">
        <f t="shared" si="79"/>
        <v>11.149999999999999</v>
      </c>
    </row>
    <row r="82" spans="1:20" x14ac:dyDescent="0.2">
      <c r="B82" s="18">
        <f t="shared" si="76"/>
        <v>0.82500000000000007</v>
      </c>
      <c r="C82" s="19">
        <f t="shared" si="64"/>
        <v>422.00134563279858</v>
      </c>
      <c r="D82" s="18">
        <f t="shared" si="65"/>
        <v>5.8996346063324419</v>
      </c>
      <c r="E82" s="18">
        <f t="shared" si="66"/>
        <v>13.940981397525253</v>
      </c>
      <c r="G82" s="20">
        <f t="shared" si="67"/>
        <v>0.88846361656565664</v>
      </c>
      <c r="H82" s="21">
        <f t="shared" si="77"/>
        <v>450</v>
      </c>
      <c r="I82" s="20">
        <f t="shared" si="68"/>
        <v>6.459607693676471</v>
      </c>
      <c r="J82" s="20">
        <f t="shared" si="69"/>
        <v>15.527571811666666</v>
      </c>
      <c r="L82" s="17">
        <f t="shared" si="70"/>
        <v>0.72304141128232358</v>
      </c>
      <c r="M82" s="14">
        <f t="shared" si="71"/>
        <v>377.0196153161765</v>
      </c>
      <c r="N82" s="13">
        <f t="shared" si="78"/>
        <v>5.0000000000000018</v>
      </c>
      <c r="O82" s="13">
        <f t="shared" si="72"/>
        <v>11.392016679583341</v>
      </c>
      <c r="Q82" s="9">
        <f t="shared" si="73"/>
        <v>0.72736074409898988</v>
      </c>
      <c r="R82" s="10">
        <f t="shared" si="74"/>
        <v>378.92520332352933</v>
      </c>
      <c r="S82" s="9">
        <f t="shared" si="75"/>
        <v>5.038111760147058</v>
      </c>
      <c r="T82" s="9">
        <f t="shared" si="79"/>
        <v>11.499999999999998</v>
      </c>
    </row>
    <row r="83" spans="1:20" x14ac:dyDescent="0.2">
      <c r="B83" s="18">
        <f t="shared" si="76"/>
        <v>0.85000000000000009</v>
      </c>
      <c r="C83" s="19">
        <f t="shared" si="64"/>
        <v>433.03075739750449</v>
      </c>
      <c r="D83" s="18">
        <f t="shared" si="65"/>
        <v>6.1202228416265614</v>
      </c>
      <c r="E83" s="18">
        <f t="shared" si="66"/>
        <v>14.565981397525256</v>
      </c>
      <c r="G83" s="20">
        <f t="shared" si="67"/>
        <v>0.91113028323232326</v>
      </c>
      <c r="H83" s="21">
        <f t="shared" si="77"/>
        <v>460</v>
      </c>
      <c r="I83" s="20">
        <f t="shared" si="68"/>
        <v>6.6596076936764712</v>
      </c>
      <c r="J83" s="20">
        <f t="shared" si="69"/>
        <v>16.094238478333335</v>
      </c>
      <c r="L83" s="17">
        <f t="shared" si="70"/>
        <v>0.74004141128232348</v>
      </c>
      <c r="M83" s="14">
        <f t="shared" si="71"/>
        <v>384.5196153161765</v>
      </c>
      <c r="N83" s="13">
        <f t="shared" si="78"/>
        <v>5.1500000000000021</v>
      </c>
      <c r="O83" s="13">
        <f t="shared" si="72"/>
        <v>11.81701667958334</v>
      </c>
      <c r="Q83" s="9">
        <f t="shared" si="73"/>
        <v>0.74136074409898989</v>
      </c>
      <c r="R83" s="10">
        <f t="shared" si="74"/>
        <v>385.10167391176464</v>
      </c>
      <c r="S83" s="9">
        <f t="shared" si="75"/>
        <v>5.1616411719117634</v>
      </c>
      <c r="T83" s="9">
        <f t="shared" si="79"/>
        <v>11.849999999999998</v>
      </c>
    </row>
    <row r="84" spans="1:20" x14ac:dyDescent="0.2">
      <c r="A84" s="46"/>
      <c r="B84" s="47">
        <f t="shared" si="76"/>
        <v>0.87500000000000011</v>
      </c>
      <c r="C84" s="48">
        <f t="shared" si="64"/>
        <v>444.06016916221029</v>
      </c>
      <c r="D84" s="47">
        <f t="shared" si="65"/>
        <v>6.3408110769206791</v>
      </c>
      <c r="E84" s="47">
        <f t="shared" si="66"/>
        <v>15.190981397525256</v>
      </c>
      <c r="F84" s="46"/>
      <c r="G84" s="49">
        <f t="shared" si="67"/>
        <v>0.93379694989898998</v>
      </c>
      <c r="H84" s="50">
        <f t="shared" si="77"/>
        <v>470</v>
      </c>
      <c r="I84" s="49">
        <f t="shared" si="68"/>
        <v>6.8596076936764705</v>
      </c>
      <c r="J84" s="49">
        <f t="shared" si="69"/>
        <v>16.660905145000001</v>
      </c>
      <c r="K84" s="46"/>
      <c r="L84" s="51">
        <f t="shared" si="70"/>
        <v>0.75704141128232372</v>
      </c>
      <c r="M84" s="52">
        <f t="shared" si="71"/>
        <v>392.01961531617656</v>
      </c>
      <c r="N84" s="53">
        <f t="shared" si="78"/>
        <v>5.3000000000000025</v>
      </c>
      <c r="O84" s="53">
        <f t="shared" si="72"/>
        <v>12.24201667958334</v>
      </c>
      <c r="P84" s="46"/>
      <c r="Q84" s="54">
        <f t="shared" si="73"/>
        <v>0.7553607440989899</v>
      </c>
      <c r="R84" s="55">
        <f t="shared" si="74"/>
        <v>391.27814449999994</v>
      </c>
      <c r="S84" s="54">
        <f t="shared" si="75"/>
        <v>5.2851705836764697</v>
      </c>
      <c r="T84" s="54">
        <f t="shared" si="79"/>
        <v>12.199999999999998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 r:id="rId1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64"/>
  <sheetViews>
    <sheetView topLeftCell="A9" zoomScale="150" zoomScaleNormal="150" workbookViewId="0">
      <selection activeCell="A9" sqref="A9:B9"/>
    </sheetView>
  </sheetViews>
  <sheetFormatPr defaultRowHeight="12.75" x14ac:dyDescent="0.2"/>
  <cols>
    <col min="1" max="1" width="32.140625" style="202" bestFit="1" customWidth="1"/>
    <col min="2" max="2" width="22" style="202" bestFit="1" customWidth="1"/>
    <col min="3" max="3" width="16.7109375" style="201" customWidth="1"/>
    <col min="4" max="8" width="9.140625" style="201"/>
    <col min="9" max="9" width="12.140625" style="201" customWidth="1"/>
    <col min="10" max="21" width="9.140625" style="201"/>
    <col min="22" max="16384" width="9.140625" style="202"/>
  </cols>
  <sheetData>
    <row r="1" spans="1:9" hidden="1" x14ac:dyDescent="0.2">
      <c r="A1" s="422" t="s">
        <v>143</v>
      </c>
      <c r="B1" s="422"/>
    </row>
    <row r="2" spans="1:9" hidden="1" x14ac:dyDescent="0.2">
      <c r="A2" s="59" t="s">
        <v>145</v>
      </c>
      <c r="B2" s="203">
        <v>420000</v>
      </c>
    </row>
    <row r="3" spans="1:9" hidden="1" x14ac:dyDescent="0.2">
      <c r="A3" s="59" t="s">
        <v>144</v>
      </c>
      <c r="B3" s="204">
        <v>0.25</v>
      </c>
    </row>
    <row r="4" spans="1:9" hidden="1" x14ac:dyDescent="0.2">
      <c r="A4" s="59" t="s">
        <v>146</v>
      </c>
      <c r="B4" s="205">
        <f>B2*B3</f>
        <v>105000</v>
      </c>
    </row>
    <row r="5" spans="1:9" hidden="1" x14ac:dyDescent="0.2">
      <c r="A5" s="59" t="s">
        <v>147</v>
      </c>
      <c r="B5" s="206">
        <v>100</v>
      </c>
    </row>
    <row r="6" spans="1:9" hidden="1" x14ac:dyDescent="0.2">
      <c r="A6" s="59" t="s">
        <v>134</v>
      </c>
      <c r="B6" s="206">
        <f>B4/B5</f>
        <v>1050</v>
      </c>
    </row>
    <row r="7" spans="1:9" hidden="1" x14ac:dyDescent="0.2">
      <c r="A7" s="59"/>
      <c r="B7" s="206"/>
    </row>
    <row r="8" spans="1:9" hidden="1" x14ac:dyDescent="0.2">
      <c r="A8" s="201"/>
      <c r="B8" s="206"/>
    </row>
    <row r="9" spans="1:9" x14ac:dyDescent="0.2">
      <c r="A9" s="425" t="s">
        <v>137</v>
      </c>
      <c r="B9" s="425"/>
    </row>
    <row r="10" spans="1:9" x14ac:dyDescent="0.2">
      <c r="A10" s="207" t="s">
        <v>141</v>
      </c>
      <c r="B10" s="208">
        <v>4700</v>
      </c>
      <c r="D10" s="424" t="s">
        <v>148</v>
      </c>
      <c r="E10" s="424"/>
      <c r="F10" s="424"/>
      <c r="G10" s="424"/>
      <c r="H10" s="424"/>
      <c r="I10" s="424"/>
    </row>
    <row r="11" spans="1:9" x14ac:dyDescent="0.2">
      <c r="A11" s="209" t="s">
        <v>134</v>
      </c>
      <c r="B11" s="209" t="s">
        <v>135</v>
      </c>
    </row>
    <row r="12" spans="1:9" x14ac:dyDescent="0.2">
      <c r="A12" s="210">
        <v>1000</v>
      </c>
      <c r="B12" s="211">
        <v>400</v>
      </c>
      <c r="D12" s="424" t="s">
        <v>149</v>
      </c>
      <c r="E12" s="424"/>
      <c r="F12" s="424"/>
      <c r="G12" s="424"/>
      <c r="H12" s="424"/>
      <c r="I12" s="424"/>
    </row>
    <row r="13" spans="1:9" x14ac:dyDescent="0.2">
      <c r="A13" s="212">
        <v>1000</v>
      </c>
      <c r="B13" s="213">
        <v>400</v>
      </c>
      <c r="D13" s="424"/>
      <c r="E13" s="424"/>
      <c r="F13" s="424"/>
      <c r="G13" s="424"/>
      <c r="H13" s="424"/>
      <c r="I13" s="424"/>
    </row>
    <row r="14" spans="1:9" x14ac:dyDescent="0.2">
      <c r="A14" s="214">
        <v>0</v>
      </c>
      <c r="B14" s="215"/>
      <c r="D14" s="424"/>
      <c r="E14" s="424"/>
      <c r="F14" s="424"/>
      <c r="G14" s="424"/>
      <c r="H14" s="424"/>
      <c r="I14" s="424"/>
    </row>
    <row r="15" spans="1:9" ht="25.5" x14ac:dyDescent="0.2">
      <c r="A15" s="216" t="s">
        <v>133</v>
      </c>
      <c r="B15" s="217" t="s">
        <v>136</v>
      </c>
    </row>
    <row r="16" spans="1:9" x14ac:dyDescent="0.2">
      <c r="A16" s="218">
        <f>B10-(SUM('Peanut Price Calculator'!A12:A14))</f>
        <v>2700</v>
      </c>
      <c r="B16" s="219">
        <v>400</v>
      </c>
      <c r="D16" s="424" t="s">
        <v>150</v>
      </c>
      <c r="E16" s="424"/>
      <c r="F16" s="424"/>
      <c r="G16" s="424"/>
      <c r="H16" s="424"/>
      <c r="I16" s="424"/>
    </row>
    <row r="17" spans="1:9" x14ac:dyDescent="0.2">
      <c r="A17" s="220" t="s">
        <v>139</v>
      </c>
      <c r="B17" s="221">
        <f>(A12/(SUM(A12:A14,A16:A16))*B12+A13/(SUM(A12:A14,A16:A16))*B13+A14/(SUM(A12:A14,A16:A16))*B14+A16/(SUM(A12:A14,A16:A16))*B16)</f>
        <v>400</v>
      </c>
    </row>
    <row r="18" spans="1:9" x14ac:dyDescent="0.2">
      <c r="A18" s="222"/>
      <c r="B18" s="223"/>
    </row>
    <row r="19" spans="1:9" s="201" customFormat="1" x14ac:dyDescent="0.2"/>
    <row r="20" spans="1:9" s="201" customFormat="1" x14ac:dyDescent="0.2">
      <c r="A20" s="423" t="s">
        <v>140</v>
      </c>
      <c r="B20" s="423"/>
    </row>
    <row r="21" spans="1:9" s="201" customFormat="1" x14ac:dyDescent="0.2">
      <c r="A21" s="207" t="s">
        <v>142</v>
      </c>
      <c r="B21" s="224">
        <v>3400</v>
      </c>
      <c r="D21" s="424" t="s">
        <v>151</v>
      </c>
      <c r="E21" s="424"/>
      <c r="F21" s="424"/>
      <c r="G21" s="424"/>
      <c r="H21" s="424"/>
      <c r="I21" s="424"/>
    </row>
    <row r="22" spans="1:9" s="201" customFormat="1" x14ac:dyDescent="0.2">
      <c r="A22" s="209" t="s">
        <v>134</v>
      </c>
      <c r="B22" s="209" t="s">
        <v>135</v>
      </c>
    </row>
    <row r="23" spans="1:9" s="201" customFormat="1" x14ac:dyDescent="0.2">
      <c r="A23" s="225">
        <v>1000</v>
      </c>
      <c r="B23" s="226">
        <v>400</v>
      </c>
      <c r="D23" s="424" t="s">
        <v>152</v>
      </c>
      <c r="E23" s="424"/>
      <c r="F23" s="424"/>
      <c r="G23" s="424"/>
      <c r="H23" s="424"/>
      <c r="I23" s="424"/>
    </row>
    <row r="24" spans="1:9" s="201" customFormat="1" x14ac:dyDescent="0.2">
      <c r="A24" s="227">
        <v>500</v>
      </c>
      <c r="B24" s="228">
        <v>400</v>
      </c>
      <c r="D24" s="424"/>
      <c r="E24" s="424"/>
      <c r="F24" s="424"/>
      <c r="G24" s="424"/>
      <c r="H24" s="424"/>
      <c r="I24" s="424"/>
    </row>
    <row r="25" spans="1:9" s="201" customFormat="1" x14ac:dyDescent="0.2">
      <c r="A25" s="229">
        <v>0</v>
      </c>
      <c r="B25" s="230"/>
      <c r="D25" s="424"/>
      <c r="E25" s="424"/>
      <c r="F25" s="424"/>
      <c r="G25" s="424"/>
      <c r="H25" s="424"/>
      <c r="I25" s="424"/>
    </row>
    <row r="26" spans="1:9" s="201" customFormat="1" ht="25.5" x14ac:dyDescent="0.2">
      <c r="A26" s="216" t="s">
        <v>133</v>
      </c>
      <c r="B26" s="217" t="s">
        <v>136</v>
      </c>
    </row>
    <row r="27" spans="1:9" s="201" customFormat="1" ht="15.75" customHeight="1" x14ac:dyDescent="0.2">
      <c r="A27" s="218">
        <f>B21-(SUM('Peanut Price Calculator'!A23:A25))</f>
        <v>1900</v>
      </c>
      <c r="B27" s="231">
        <v>400</v>
      </c>
      <c r="D27" s="421" t="s">
        <v>153</v>
      </c>
      <c r="E27" s="421"/>
      <c r="F27" s="421"/>
      <c r="G27" s="421"/>
      <c r="H27" s="421"/>
      <c r="I27" s="421"/>
    </row>
    <row r="28" spans="1:9" s="201" customFormat="1" x14ac:dyDescent="0.2">
      <c r="A28" s="220" t="s">
        <v>138</v>
      </c>
      <c r="B28" s="221">
        <f>(A23/(SUM(A23:A25,A27:A27))*B23+A24/(SUM(A23:A25,A27:A27))*B24+A25/(SUM(A23:A25,A27:A27))*B25+A27/(SUM(A23:A25,A27:A27))*B27)</f>
        <v>400</v>
      </c>
      <c r="D28" s="421"/>
      <c r="E28" s="421"/>
      <c r="F28" s="421"/>
      <c r="G28" s="421"/>
      <c r="H28" s="421"/>
      <c r="I28" s="421"/>
    </row>
    <row r="29" spans="1:9" s="201" customFormat="1" x14ac:dyDescent="0.2"/>
    <row r="30" spans="1:9" s="201" customFormat="1" x14ac:dyDescent="0.2"/>
    <row r="31" spans="1:9" s="201" customFormat="1" x14ac:dyDescent="0.2"/>
    <row r="32" spans="1:9" s="201" customFormat="1" x14ac:dyDescent="0.2"/>
    <row r="33" s="201" customFormat="1" x14ac:dyDescent="0.2"/>
    <row r="34" s="201" customFormat="1" x14ac:dyDescent="0.2"/>
    <row r="35" s="201" customFormat="1" x14ac:dyDescent="0.2"/>
    <row r="36" s="201" customFormat="1" x14ac:dyDescent="0.2"/>
    <row r="37" s="201" customFormat="1" x14ac:dyDescent="0.2"/>
    <row r="38" s="201" customFormat="1" x14ac:dyDescent="0.2"/>
    <row r="39" s="201" customFormat="1" x14ac:dyDescent="0.2"/>
    <row r="40" s="201" customFormat="1" x14ac:dyDescent="0.2"/>
    <row r="41" s="201" customFormat="1" x14ac:dyDescent="0.2"/>
    <row r="42" s="201" customFormat="1" x14ac:dyDescent="0.2"/>
    <row r="43" s="201" customFormat="1" x14ac:dyDescent="0.2"/>
    <row r="44" s="201" customFormat="1" x14ac:dyDescent="0.2"/>
    <row r="45" s="201" customFormat="1" x14ac:dyDescent="0.2"/>
    <row r="46" s="201" customFormat="1" x14ac:dyDescent="0.2"/>
    <row r="47" s="201" customFormat="1" x14ac:dyDescent="0.2"/>
    <row r="48" s="201" customFormat="1" x14ac:dyDescent="0.2"/>
    <row r="49" s="201" customFormat="1" x14ac:dyDescent="0.2"/>
    <row r="50" s="201" customFormat="1" x14ac:dyDescent="0.2"/>
    <row r="51" s="201" customFormat="1" x14ac:dyDescent="0.2"/>
    <row r="52" s="201" customFormat="1" x14ac:dyDescent="0.2"/>
    <row r="53" s="201" customFormat="1" x14ac:dyDescent="0.2"/>
    <row r="54" s="201" customFormat="1" x14ac:dyDescent="0.2"/>
    <row r="55" s="201" customFormat="1" x14ac:dyDescent="0.2"/>
    <row r="56" s="201" customFormat="1" x14ac:dyDescent="0.2"/>
    <row r="57" s="201" customFormat="1" x14ac:dyDescent="0.2"/>
    <row r="58" s="201" customFormat="1" x14ac:dyDescent="0.2"/>
    <row r="59" s="201" customFormat="1" x14ac:dyDescent="0.2"/>
    <row r="60" s="201" customFormat="1" x14ac:dyDescent="0.2"/>
    <row r="61" s="201" customFormat="1" x14ac:dyDescent="0.2"/>
    <row r="62" s="201" customFormat="1" x14ac:dyDescent="0.2"/>
    <row r="63" s="201" customFormat="1" x14ac:dyDescent="0.2"/>
    <row r="64" s="201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ageMargins left="0.7" right="0.7" top="0.75" bottom="0.75" header="0.3" footer="0.3"/>
  <pageSetup scale="97" orientation="landscape" r:id="rId1"/>
  <headerFooter>
    <oddFooter>&amp;LCalculator created by A.R. Smith &amp; N.B. Smith, UGA Extension Economists&amp;C&amp;G&amp;RAg and Applied Economics, 1/2015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6"/>
  <sheetViews>
    <sheetView zoomScale="130" zoomScaleNormal="130" workbookViewId="0">
      <selection activeCell="A3" sqref="A3:A5"/>
    </sheetView>
  </sheetViews>
  <sheetFormatPr defaultRowHeight="12.75" x14ac:dyDescent="0.2"/>
  <cols>
    <col min="1" max="1" width="7.28515625" style="102" customWidth="1"/>
    <col min="2" max="2" width="15.7109375" style="102" bestFit="1" customWidth="1"/>
    <col min="3" max="3" width="6.28515625" style="102" customWidth="1"/>
    <col min="4" max="4" width="15.85546875" style="102" bestFit="1" customWidth="1"/>
    <col min="5" max="5" width="6.28515625" style="102" customWidth="1"/>
    <col min="6" max="6" width="14" style="102" bestFit="1" customWidth="1"/>
    <col min="7" max="7" width="7" style="102" customWidth="1"/>
    <col min="8" max="8" width="15.85546875" style="102" bestFit="1" customWidth="1"/>
    <col min="9" max="9" width="8.5703125" style="102" customWidth="1"/>
    <col min="10" max="21" width="8.85546875" style="179" customWidth="1"/>
    <col min="22" max="16384" width="9.140625" style="102"/>
  </cols>
  <sheetData>
    <row r="1" spans="1:21" ht="30" customHeight="1" x14ac:dyDescent="0.2">
      <c r="A1" s="426" t="s">
        <v>118</v>
      </c>
      <c r="B1" s="427"/>
      <c r="C1" s="427"/>
      <c r="D1" s="427"/>
      <c r="E1" s="427"/>
      <c r="F1" s="427"/>
      <c r="G1" s="427"/>
      <c r="H1" s="427"/>
      <c r="I1" s="428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ht="30" customHeight="1" thickBot="1" x14ac:dyDescent="0.25">
      <c r="A2" s="429" t="s">
        <v>117</v>
      </c>
      <c r="B2" s="430"/>
      <c r="C2" s="430"/>
      <c r="D2" s="430"/>
      <c r="E2" s="430"/>
      <c r="F2" s="430"/>
      <c r="G2" s="430"/>
      <c r="H2" s="430"/>
      <c r="I2" s="43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1" s="189" customFormat="1" ht="30" customHeight="1" thickBot="1" x14ac:dyDescent="0.25">
      <c r="A3" s="180"/>
      <c r="B3" s="181" t="s">
        <v>105</v>
      </c>
      <c r="C3" s="182"/>
      <c r="D3" s="183" t="s">
        <v>108</v>
      </c>
      <c r="E3" s="182"/>
      <c r="F3" s="184" t="s">
        <v>111</v>
      </c>
      <c r="G3" s="182"/>
      <c r="H3" s="185" t="s">
        <v>114</v>
      </c>
      <c r="I3" s="186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</row>
    <row r="4" spans="1:21" s="194" customFormat="1" ht="13.5" thickBot="1" x14ac:dyDescent="0.25">
      <c r="A4" s="190"/>
      <c r="B4" s="182"/>
      <c r="C4" s="182"/>
      <c r="D4" s="182"/>
      <c r="E4" s="182"/>
      <c r="F4" s="182"/>
      <c r="G4" s="182"/>
      <c r="H4" s="182"/>
      <c r="I4" s="191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193"/>
    </row>
    <row r="5" spans="1:21" s="189" customFormat="1" ht="30" customHeight="1" thickBot="1" x14ac:dyDescent="0.25">
      <c r="A5" s="180"/>
      <c r="B5" s="181" t="s">
        <v>106</v>
      </c>
      <c r="C5" s="182"/>
      <c r="D5" s="183" t="s">
        <v>109</v>
      </c>
      <c r="E5" s="182"/>
      <c r="F5" s="184" t="s">
        <v>112</v>
      </c>
      <c r="G5" s="182"/>
      <c r="H5" s="185" t="s">
        <v>115</v>
      </c>
      <c r="I5" s="186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8"/>
      <c r="U5" s="188"/>
    </row>
    <row r="6" spans="1:21" s="194" customFormat="1" ht="13.5" thickBot="1" x14ac:dyDescent="0.25">
      <c r="A6" s="190"/>
      <c r="B6" s="182"/>
      <c r="C6" s="182"/>
      <c r="D6" s="182"/>
      <c r="E6" s="182"/>
      <c r="F6" s="182"/>
      <c r="G6" s="182"/>
      <c r="H6" s="182"/>
      <c r="I6" s="191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193"/>
    </row>
    <row r="7" spans="1:21" s="189" customFormat="1" ht="30" customHeight="1" thickBot="1" x14ac:dyDescent="0.25">
      <c r="A7" s="180"/>
      <c r="B7" s="181" t="s">
        <v>107</v>
      </c>
      <c r="C7" s="182"/>
      <c r="D7" s="183" t="s">
        <v>110</v>
      </c>
      <c r="E7" s="182"/>
      <c r="F7" s="184" t="s">
        <v>113</v>
      </c>
      <c r="G7" s="182"/>
      <c r="H7" s="185" t="s">
        <v>116</v>
      </c>
      <c r="I7" s="186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U7" s="188"/>
    </row>
    <row r="8" spans="1:21" ht="30" customHeight="1" thickBot="1" x14ac:dyDescent="0.25">
      <c r="A8" s="195"/>
      <c r="B8" s="196"/>
      <c r="C8" s="196"/>
      <c r="D8" s="196"/>
      <c r="E8" s="196"/>
      <c r="F8" s="196"/>
      <c r="G8" s="196"/>
      <c r="H8" s="196"/>
      <c r="I8" s="197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21" ht="6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21" ht="6.6" customHeight="1" thickBo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21" ht="30" customHeight="1" x14ac:dyDescent="0.2">
      <c r="A11" s="426" t="s">
        <v>119</v>
      </c>
      <c r="B11" s="427"/>
      <c r="C11" s="427"/>
      <c r="D11" s="427"/>
      <c r="E11" s="427"/>
      <c r="F11" s="427"/>
      <c r="G11" s="427"/>
      <c r="H11" s="427"/>
      <c r="I11" s="428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21" ht="30" customHeight="1" thickBot="1" x14ac:dyDescent="0.25">
      <c r="A12" s="429" t="s">
        <v>117</v>
      </c>
      <c r="B12" s="430"/>
      <c r="C12" s="430"/>
      <c r="D12" s="430"/>
      <c r="E12" s="430"/>
      <c r="F12" s="430"/>
      <c r="G12" s="430"/>
      <c r="H12" s="430"/>
      <c r="I12" s="43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21" s="200" customFormat="1" ht="30" customHeight="1" thickBot="1" x14ac:dyDescent="0.25">
      <c r="A13" s="180"/>
      <c r="B13" s="181" t="s">
        <v>105</v>
      </c>
      <c r="C13" s="182"/>
      <c r="D13" s="183" t="s">
        <v>108</v>
      </c>
      <c r="E13" s="182"/>
      <c r="F13" s="184" t="s">
        <v>111</v>
      </c>
      <c r="G13" s="182"/>
      <c r="H13" s="185" t="s">
        <v>114</v>
      </c>
      <c r="I13" s="186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9"/>
      <c r="U13" s="199"/>
    </row>
    <row r="14" spans="1:21" s="200" customFormat="1" ht="13.5" thickBot="1" x14ac:dyDescent="0.25">
      <c r="A14" s="180"/>
      <c r="B14" s="182"/>
      <c r="C14" s="182"/>
      <c r="D14" s="182"/>
      <c r="E14" s="182"/>
      <c r="F14" s="182"/>
      <c r="G14" s="182"/>
      <c r="H14" s="182"/>
      <c r="I14" s="186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199"/>
    </row>
    <row r="15" spans="1:21" s="200" customFormat="1" ht="30" customHeight="1" thickBot="1" x14ac:dyDescent="0.25">
      <c r="A15" s="180"/>
      <c r="B15" s="181" t="s">
        <v>106</v>
      </c>
      <c r="C15" s="182"/>
      <c r="D15" s="183" t="s">
        <v>109</v>
      </c>
      <c r="E15" s="182"/>
      <c r="F15" s="184" t="s">
        <v>112</v>
      </c>
      <c r="G15" s="182"/>
      <c r="H15" s="185" t="s">
        <v>115</v>
      </c>
      <c r="I15" s="186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9"/>
      <c r="U15" s="199"/>
    </row>
    <row r="16" spans="1:21" s="200" customFormat="1" ht="13.5" thickBot="1" x14ac:dyDescent="0.25">
      <c r="A16" s="180"/>
      <c r="B16" s="182"/>
      <c r="C16" s="182"/>
      <c r="D16" s="182"/>
      <c r="E16" s="182"/>
      <c r="F16" s="182"/>
      <c r="G16" s="182"/>
      <c r="H16" s="182"/>
      <c r="I16" s="186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199"/>
    </row>
    <row r="17" spans="1:21" s="200" customFormat="1" ht="30" customHeight="1" thickBot="1" x14ac:dyDescent="0.25">
      <c r="A17" s="180"/>
      <c r="B17" s="181" t="s">
        <v>107</v>
      </c>
      <c r="C17" s="182"/>
      <c r="D17" s="183" t="s">
        <v>110</v>
      </c>
      <c r="E17" s="182"/>
      <c r="F17" s="184" t="s">
        <v>113</v>
      </c>
      <c r="G17" s="182"/>
      <c r="H17" s="185" t="s">
        <v>116</v>
      </c>
      <c r="I17" s="186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9"/>
      <c r="U17" s="199"/>
    </row>
    <row r="18" spans="1:21" ht="30" customHeight="1" thickBot="1" x14ac:dyDescent="0.25">
      <c r="A18" s="195"/>
      <c r="B18" s="196"/>
      <c r="C18" s="196"/>
      <c r="D18" s="196"/>
      <c r="E18" s="196"/>
      <c r="F18" s="196"/>
      <c r="G18" s="196"/>
      <c r="H18" s="196"/>
      <c r="I18" s="197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2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2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2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2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2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21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21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2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2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2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21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2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</sheetData>
  <sheetProtection sheet="1" objects="1" scenarios="1"/>
  <mergeCells count="4">
    <mergeCell ref="A1:I1"/>
    <mergeCell ref="A11:I11"/>
    <mergeCell ref="A2:I2"/>
    <mergeCell ref="A12:I12"/>
  </mergeCells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9:M407"/>
  <sheetViews>
    <sheetView zoomScale="110" zoomScaleNormal="110" zoomScaleSheetLayoutView="100" workbookViewId="0"/>
  </sheetViews>
  <sheetFormatPr defaultColWidth="8.85546875" defaultRowHeight="12.75" x14ac:dyDescent="0.2"/>
  <cols>
    <col min="1" max="26" width="8.85546875" style="101"/>
    <col min="27" max="27" width="8.85546875" style="101" customWidth="1"/>
    <col min="28" max="16384" width="8.85546875" style="101"/>
  </cols>
  <sheetData>
    <row r="29" spans="1:11" x14ac:dyDescent="0.2">
      <c r="A29" s="433" t="s">
        <v>93</v>
      </c>
      <c r="B29" s="433"/>
      <c r="C29" s="433"/>
      <c r="D29" s="433"/>
      <c r="E29" s="433"/>
      <c r="F29" s="433"/>
    </row>
    <row r="30" spans="1:11" x14ac:dyDescent="0.2">
      <c r="A30" s="232" t="s">
        <v>86</v>
      </c>
      <c r="B30" s="432" t="s">
        <v>90</v>
      </c>
      <c r="C30" s="432"/>
      <c r="D30" s="432"/>
      <c r="E30" s="432"/>
      <c r="F30" s="432"/>
      <c r="G30" s="432"/>
      <c r="H30" s="432"/>
      <c r="I30" s="432"/>
      <c r="J30" s="432"/>
      <c r="K30" s="432"/>
    </row>
    <row r="31" spans="1:11" x14ac:dyDescent="0.2">
      <c r="A31" s="232" t="s">
        <v>87</v>
      </c>
      <c r="B31" s="432" t="str">
        <f>CONCATENATE("Irrigated peanut yield is ",Conventional!$D$7," lbs. and irrigated cotton yield is ",Conventional!$B$7," lbs.")</f>
        <v>Irrigated peanut yield is 4700 lbs. and irrigated cotton yield is 1200 lbs.</v>
      </c>
      <c r="C31" s="432"/>
      <c r="D31" s="432"/>
      <c r="E31" s="432"/>
      <c r="F31" s="432"/>
      <c r="G31" s="432"/>
      <c r="H31" s="432"/>
      <c r="I31" s="176"/>
      <c r="J31" s="176"/>
      <c r="K31" s="176"/>
    </row>
    <row r="32" spans="1:11" x14ac:dyDescent="0.2">
      <c r="A32" s="232" t="s">
        <v>88</v>
      </c>
      <c r="B32" s="432" t="str">
        <f>CONCATENATE("Non-irrigated peanut yield is ",Conventional!$P$7," lbs. and non-irrigated cotton yield is ",Conventional!$N$7," lbs.")</f>
        <v>Non-irrigated peanut yield is 3400 lbs. and non-irrigated cotton yield is 750 lbs.</v>
      </c>
      <c r="C32" s="432"/>
      <c r="D32" s="432"/>
      <c r="E32" s="432"/>
      <c r="F32" s="432"/>
      <c r="G32" s="432"/>
      <c r="H32" s="432"/>
      <c r="I32" s="432"/>
      <c r="J32" s="176"/>
      <c r="K32" s="176"/>
    </row>
    <row r="33" spans="1:13" x14ac:dyDescent="0.2">
      <c r="A33" s="232" t="s">
        <v>89</v>
      </c>
      <c r="B33" s="432" t="s">
        <v>104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</row>
    <row r="63" spans="1:11" x14ac:dyDescent="0.2">
      <c r="A63" s="432" t="s">
        <v>93</v>
      </c>
      <c r="B63" s="432"/>
      <c r="C63" s="432"/>
      <c r="D63" s="432"/>
      <c r="E63" s="432"/>
      <c r="F63" s="432"/>
    </row>
    <row r="64" spans="1:11" x14ac:dyDescent="0.2">
      <c r="A64" s="232" t="s">
        <v>86</v>
      </c>
      <c r="B64" s="432" t="s">
        <v>91</v>
      </c>
      <c r="C64" s="432"/>
      <c r="D64" s="432"/>
      <c r="E64" s="432"/>
      <c r="F64" s="432"/>
      <c r="G64" s="432"/>
      <c r="H64" s="432"/>
      <c r="I64" s="432"/>
      <c r="J64" s="432"/>
      <c r="K64" s="432"/>
    </row>
    <row r="65" spans="1:13" x14ac:dyDescent="0.2">
      <c r="A65" s="232" t="s">
        <v>87</v>
      </c>
      <c r="B65" s="432" t="str">
        <f>CONCATENATE("Irrigated corn yield is ",Conventional!$F$7," bu. and irrigated cotton yield is ",Conventional!$B$7," lbs.")</f>
        <v>Irrigated corn yield is 200 bu. and irrigated cotton yield is 1200 lbs.</v>
      </c>
      <c r="C65" s="432"/>
      <c r="D65" s="432"/>
      <c r="E65" s="432"/>
      <c r="F65" s="432"/>
      <c r="G65" s="432"/>
      <c r="H65" s="432"/>
      <c r="I65" s="176"/>
      <c r="J65" s="176"/>
      <c r="K65" s="176"/>
    </row>
    <row r="66" spans="1:13" x14ac:dyDescent="0.2">
      <c r="A66" s="232" t="s">
        <v>88</v>
      </c>
      <c r="B66" s="432" t="str">
        <f>CONCATENATE("Non-irrigated corn yield is ",Conventional!$R$7," bu. and non-irrigated cotton yield is ",Conventional!$N$7," lbs.")</f>
        <v>Non-irrigated corn yield is 85 bu. and non-irrigated cotton yield is 750 lbs.</v>
      </c>
      <c r="C66" s="432"/>
      <c r="D66" s="432"/>
      <c r="E66" s="432"/>
      <c r="F66" s="432"/>
      <c r="G66" s="432"/>
      <c r="H66" s="432"/>
      <c r="I66" s="432"/>
      <c r="J66" s="176"/>
      <c r="K66" s="176"/>
    </row>
    <row r="67" spans="1:13" x14ac:dyDescent="0.2">
      <c r="A67" s="232" t="s">
        <v>89</v>
      </c>
      <c r="B67" s="432" t="s">
        <v>104</v>
      </c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</row>
    <row r="97" spans="1:13" x14ac:dyDescent="0.2">
      <c r="A97" s="432" t="s">
        <v>93</v>
      </c>
      <c r="B97" s="432"/>
      <c r="C97" s="432"/>
      <c r="D97" s="432"/>
      <c r="E97" s="432"/>
      <c r="F97" s="432"/>
    </row>
    <row r="98" spans="1:13" x14ac:dyDescent="0.2">
      <c r="A98" s="232" t="s">
        <v>86</v>
      </c>
      <c r="B98" s="432" t="s">
        <v>92</v>
      </c>
      <c r="C98" s="432"/>
      <c r="D98" s="432"/>
      <c r="E98" s="432"/>
      <c r="F98" s="432"/>
      <c r="G98" s="432"/>
      <c r="H98" s="432"/>
      <c r="I98" s="432"/>
      <c r="J98" s="432"/>
      <c r="K98" s="432"/>
      <c r="L98" s="432"/>
    </row>
    <row r="99" spans="1:13" x14ac:dyDescent="0.2">
      <c r="A99" s="232" t="s">
        <v>87</v>
      </c>
      <c r="B99" s="432" t="str">
        <f>CONCATENATE("Irrigated soybean yield is ",Conventional!$H$7," bu. and irrigated cotton yield is ",Conventional!$B$7," lbs.")</f>
        <v>Irrigated soybean yield is 60 bu. and irrigated cotton yield is 1200 lbs.</v>
      </c>
      <c r="C99" s="432"/>
      <c r="D99" s="432"/>
      <c r="E99" s="432"/>
      <c r="F99" s="432"/>
      <c r="G99" s="432"/>
      <c r="H99" s="432"/>
      <c r="I99" s="176"/>
      <c r="J99" s="176"/>
      <c r="K99" s="176"/>
    </row>
    <row r="100" spans="1:13" x14ac:dyDescent="0.2">
      <c r="A100" s="232" t="s">
        <v>88</v>
      </c>
      <c r="B100" s="432" t="str">
        <f>CONCATENATE("Non-irrigated soybean yield is ",Conventional!$T$7," bu. and non-irrigated cotton yield is ",Conventional!$N$7," lbs.")</f>
        <v>Non-irrigated soybean yield is 30 bu. and non-irrigated cotton yield is 750 lbs.</v>
      </c>
      <c r="C100" s="432"/>
      <c r="D100" s="432"/>
      <c r="E100" s="432"/>
      <c r="F100" s="432"/>
      <c r="G100" s="432"/>
      <c r="H100" s="432"/>
      <c r="I100" s="432"/>
      <c r="J100" s="176"/>
      <c r="K100" s="176"/>
    </row>
    <row r="101" spans="1:13" x14ac:dyDescent="0.2">
      <c r="A101" s="232" t="s">
        <v>89</v>
      </c>
      <c r="B101" s="432" t="s">
        <v>104</v>
      </c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</row>
    <row r="131" spans="1:13" x14ac:dyDescent="0.2">
      <c r="A131" s="433" t="s">
        <v>93</v>
      </c>
      <c r="B131" s="433"/>
      <c r="C131" s="433"/>
      <c r="D131" s="433"/>
      <c r="E131" s="433"/>
      <c r="F131" s="433"/>
    </row>
    <row r="132" spans="1:13" x14ac:dyDescent="0.2">
      <c r="A132" s="232" t="s">
        <v>86</v>
      </c>
      <c r="B132" s="432" t="s">
        <v>94</v>
      </c>
      <c r="C132" s="432"/>
      <c r="D132" s="432"/>
      <c r="E132" s="432"/>
      <c r="F132" s="432"/>
      <c r="G132" s="432"/>
      <c r="H132" s="432"/>
      <c r="I132" s="432"/>
      <c r="J132" s="432"/>
      <c r="K132" s="432"/>
    </row>
    <row r="133" spans="1:13" x14ac:dyDescent="0.2">
      <c r="A133" s="232" t="s">
        <v>87</v>
      </c>
      <c r="B133" s="432" t="str">
        <f>CONCATENATE("Irrigated cotton yield is ",Conventional!$B$7," lbs. and irrigated peanut yield is ",Conventional!$D$7," lbs.")</f>
        <v>Irrigated cotton yield is 1200 lbs. and irrigated peanut yield is 4700 lbs.</v>
      </c>
      <c r="C133" s="432"/>
      <c r="D133" s="432"/>
      <c r="E133" s="432"/>
      <c r="F133" s="432"/>
      <c r="G133" s="432"/>
      <c r="H133" s="432"/>
      <c r="I133" s="176"/>
      <c r="J133" s="176"/>
      <c r="K133" s="176"/>
    </row>
    <row r="134" spans="1:13" x14ac:dyDescent="0.2">
      <c r="A134" s="232" t="s">
        <v>88</v>
      </c>
      <c r="B134" s="432" t="str">
        <f>CONCATENATE("Non-irrigated cotton yield is ",Conventional!$N$7," lbs. and non-irrigated peanut yield is ",Conventional!$P$7," lbs.")</f>
        <v>Non-irrigated cotton yield is 750 lbs. and non-irrigated peanut yield is 3400 lbs.</v>
      </c>
      <c r="C134" s="432"/>
      <c r="D134" s="432"/>
      <c r="E134" s="432"/>
      <c r="F134" s="432"/>
      <c r="G134" s="432"/>
      <c r="H134" s="432"/>
      <c r="I134" s="432"/>
      <c r="J134" s="176"/>
      <c r="K134" s="176"/>
    </row>
    <row r="135" spans="1:13" x14ac:dyDescent="0.2">
      <c r="A135" s="232" t="s">
        <v>89</v>
      </c>
      <c r="B135" s="432" t="s">
        <v>104</v>
      </c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</row>
    <row r="165" spans="1:13" x14ac:dyDescent="0.2">
      <c r="A165" s="432" t="s">
        <v>93</v>
      </c>
      <c r="B165" s="432"/>
      <c r="C165" s="432"/>
      <c r="D165" s="432"/>
      <c r="E165" s="432"/>
      <c r="F165" s="432"/>
    </row>
    <row r="166" spans="1:13" x14ac:dyDescent="0.2">
      <c r="A166" s="232" t="s">
        <v>86</v>
      </c>
      <c r="B166" s="432" t="s">
        <v>95</v>
      </c>
      <c r="C166" s="432"/>
      <c r="D166" s="432"/>
      <c r="E166" s="432"/>
      <c r="F166" s="432"/>
      <c r="G166" s="432"/>
      <c r="H166" s="432"/>
      <c r="I166" s="432"/>
      <c r="J166" s="432"/>
      <c r="K166" s="432"/>
    </row>
    <row r="167" spans="1:13" x14ac:dyDescent="0.2">
      <c r="A167" s="232" t="s">
        <v>87</v>
      </c>
      <c r="B167" s="432" t="str">
        <f>CONCATENATE("Irrigated corn yield is ",Conventional!$F$7," bu. and irrigated peanut yield is ",Conventional!$D$7," lbs.")</f>
        <v>Irrigated corn yield is 200 bu. and irrigated peanut yield is 4700 lbs.</v>
      </c>
      <c r="C167" s="432"/>
      <c r="D167" s="432"/>
      <c r="E167" s="432"/>
      <c r="F167" s="432"/>
      <c r="G167" s="432"/>
      <c r="H167" s="432"/>
      <c r="I167" s="176"/>
      <c r="J167" s="176"/>
      <c r="K167" s="176"/>
    </row>
    <row r="168" spans="1:13" x14ac:dyDescent="0.2">
      <c r="A168" s="232" t="s">
        <v>88</v>
      </c>
      <c r="B168" s="432" t="str">
        <f>CONCATENATE("Non-irrigated corn yield is ",Conventional!$R$7," bu. and non-irrigated peanut yield is ",Conventional!$P$7," lbs.")</f>
        <v>Non-irrigated corn yield is 85 bu. and non-irrigated peanut yield is 3400 lbs.</v>
      </c>
      <c r="C168" s="432"/>
      <c r="D168" s="432"/>
      <c r="E168" s="432"/>
      <c r="F168" s="432"/>
      <c r="G168" s="432"/>
      <c r="H168" s="432"/>
      <c r="I168" s="432"/>
      <c r="J168" s="176"/>
      <c r="K168" s="176"/>
    </row>
    <row r="169" spans="1:13" x14ac:dyDescent="0.2">
      <c r="A169" s="232" t="s">
        <v>89</v>
      </c>
      <c r="B169" s="432" t="s">
        <v>104</v>
      </c>
      <c r="C169" s="432"/>
      <c r="D169" s="432"/>
      <c r="E169" s="432"/>
      <c r="F169" s="432"/>
      <c r="G169" s="432"/>
      <c r="H169" s="432"/>
      <c r="I169" s="432"/>
      <c r="J169" s="432"/>
      <c r="K169" s="432"/>
      <c r="L169" s="432"/>
      <c r="M169" s="432"/>
    </row>
    <row r="199" spans="1:13" x14ac:dyDescent="0.2">
      <c r="A199" s="432" t="s">
        <v>93</v>
      </c>
      <c r="B199" s="432"/>
      <c r="C199" s="432"/>
      <c r="D199" s="432"/>
      <c r="E199" s="432"/>
      <c r="F199" s="432"/>
    </row>
    <row r="200" spans="1:13" x14ac:dyDescent="0.2">
      <c r="A200" s="232" t="s">
        <v>86</v>
      </c>
      <c r="B200" s="432" t="s">
        <v>96</v>
      </c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</row>
    <row r="201" spans="1:13" x14ac:dyDescent="0.2">
      <c r="A201" s="232" t="s">
        <v>87</v>
      </c>
      <c r="B201" s="432" t="str">
        <f>CONCATENATE("Irrigated soybean yield is ",Conventional!$H$7," bu. and irrigated peanut yield is ",Conventional!$D$7," lbs.")</f>
        <v>Irrigated soybean yield is 60 bu. and irrigated peanut yield is 4700 lbs.</v>
      </c>
      <c r="C201" s="432"/>
      <c r="D201" s="432"/>
      <c r="E201" s="432"/>
      <c r="F201" s="432"/>
      <c r="G201" s="432"/>
      <c r="H201" s="432"/>
      <c r="I201" s="176"/>
      <c r="J201" s="176"/>
      <c r="K201" s="176"/>
    </row>
    <row r="202" spans="1:13" x14ac:dyDescent="0.2">
      <c r="A202" s="232" t="s">
        <v>88</v>
      </c>
      <c r="B202" s="432" t="str">
        <f>CONCATENATE("Non-irrigated soybean yield is ",Conventional!$T$7," bu. and non-irrigated peanut yield is ",Conventional!$P$7," lbs.")</f>
        <v>Non-irrigated soybean yield is 30 bu. and non-irrigated peanut yield is 3400 lbs.</v>
      </c>
      <c r="C202" s="432"/>
      <c r="D202" s="432"/>
      <c r="E202" s="432"/>
      <c r="F202" s="432"/>
      <c r="G202" s="432"/>
      <c r="H202" s="432"/>
      <c r="I202" s="432"/>
      <c r="J202" s="176"/>
      <c r="K202" s="176"/>
    </row>
    <row r="203" spans="1:13" x14ac:dyDescent="0.2">
      <c r="A203" s="232" t="s">
        <v>89</v>
      </c>
      <c r="B203" s="432" t="s">
        <v>104</v>
      </c>
      <c r="C203" s="432"/>
      <c r="D203" s="432"/>
      <c r="E203" s="432"/>
      <c r="F203" s="432"/>
      <c r="G203" s="432"/>
      <c r="H203" s="432"/>
      <c r="I203" s="432"/>
      <c r="J203" s="432"/>
      <c r="K203" s="432"/>
      <c r="L203" s="432"/>
      <c r="M203" s="432"/>
    </row>
    <row r="233" spans="1:13" x14ac:dyDescent="0.2">
      <c r="A233" s="433" t="s">
        <v>93</v>
      </c>
      <c r="B233" s="433"/>
      <c r="C233" s="433"/>
      <c r="D233" s="433"/>
      <c r="E233" s="433"/>
      <c r="F233" s="433"/>
    </row>
    <row r="234" spans="1:13" x14ac:dyDescent="0.2">
      <c r="A234" s="232" t="s">
        <v>86</v>
      </c>
      <c r="B234" s="432" t="s">
        <v>97</v>
      </c>
      <c r="C234" s="432"/>
      <c r="D234" s="432"/>
      <c r="E234" s="432"/>
      <c r="F234" s="432"/>
      <c r="G234" s="432"/>
      <c r="H234" s="432"/>
      <c r="I234" s="432"/>
      <c r="J234" s="432"/>
      <c r="K234" s="432"/>
    </row>
    <row r="235" spans="1:13" x14ac:dyDescent="0.2">
      <c r="A235" s="232" t="s">
        <v>87</v>
      </c>
      <c r="B235" s="432" t="str">
        <f>CONCATENATE("Irrigated cotton yield is ",Conventional!$B$7," lbs. and irrigated corn yield is ",Conventional!$F$7," bu.")</f>
        <v>Irrigated cotton yield is 1200 lbs. and irrigated corn yield is 200 bu.</v>
      </c>
      <c r="C235" s="432"/>
      <c r="D235" s="432"/>
      <c r="E235" s="432"/>
      <c r="F235" s="432"/>
      <c r="G235" s="432"/>
      <c r="H235" s="432"/>
      <c r="I235" s="176"/>
      <c r="J235" s="176"/>
      <c r="K235" s="176"/>
    </row>
    <row r="236" spans="1:13" x14ac:dyDescent="0.2">
      <c r="A236" s="232" t="s">
        <v>88</v>
      </c>
      <c r="B236" s="432" t="str">
        <f>CONCATENATE("Non-irrigated cotton yield is ",Conventional!$N$7," lbs. and non-irrigated corn yield is ",Conventional!$R$7," bu.")</f>
        <v>Non-irrigated cotton yield is 750 lbs. and non-irrigated corn yield is 85 bu.</v>
      </c>
      <c r="C236" s="432"/>
      <c r="D236" s="432"/>
      <c r="E236" s="432"/>
      <c r="F236" s="432"/>
      <c r="G236" s="432"/>
      <c r="H236" s="432"/>
      <c r="I236" s="432"/>
      <c r="J236" s="176"/>
      <c r="K236" s="176"/>
    </row>
    <row r="237" spans="1:13" x14ac:dyDescent="0.2">
      <c r="A237" s="232" t="s">
        <v>89</v>
      </c>
      <c r="B237" s="432" t="s">
        <v>104</v>
      </c>
      <c r="C237" s="432"/>
      <c r="D237" s="432"/>
      <c r="E237" s="432"/>
      <c r="F237" s="432"/>
      <c r="G237" s="432"/>
      <c r="H237" s="432"/>
      <c r="I237" s="432"/>
      <c r="J237" s="432"/>
      <c r="K237" s="432"/>
      <c r="L237" s="432"/>
      <c r="M237" s="432"/>
    </row>
    <row r="267" spans="1:13" x14ac:dyDescent="0.2">
      <c r="A267" s="432" t="s">
        <v>93</v>
      </c>
      <c r="B267" s="432"/>
      <c r="C267" s="432"/>
      <c r="D267" s="432"/>
      <c r="E267" s="432"/>
      <c r="F267" s="432"/>
    </row>
    <row r="268" spans="1:13" x14ac:dyDescent="0.2">
      <c r="A268" s="232" t="s">
        <v>86</v>
      </c>
      <c r="B268" s="432" t="s">
        <v>98</v>
      </c>
      <c r="C268" s="432"/>
      <c r="D268" s="432"/>
      <c r="E268" s="432"/>
      <c r="F268" s="432"/>
      <c r="G268" s="432"/>
      <c r="H268" s="432"/>
      <c r="I268" s="432"/>
      <c r="J268" s="432"/>
      <c r="K268" s="432"/>
    </row>
    <row r="269" spans="1:13" x14ac:dyDescent="0.2">
      <c r="A269" s="232" t="s">
        <v>87</v>
      </c>
      <c r="B269" s="432" t="str">
        <f>CONCATENATE("Irrigated peanut yield is ",Conventional!$D$7," lbs. and irrigated corn yield is ",Conventional!$F$7," bu.")</f>
        <v>Irrigated peanut yield is 4700 lbs. and irrigated corn yield is 200 bu.</v>
      </c>
      <c r="C269" s="432"/>
      <c r="D269" s="432"/>
      <c r="E269" s="432"/>
      <c r="F269" s="432"/>
      <c r="G269" s="432"/>
      <c r="H269" s="432"/>
      <c r="I269" s="176"/>
      <c r="J269" s="176"/>
      <c r="K269" s="176"/>
    </row>
    <row r="270" spans="1:13" x14ac:dyDescent="0.2">
      <c r="A270" s="232" t="s">
        <v>88</v>
      </c>
      <c r="B270" s="432" t="str">
        <f>CONCATENATE("Non-irrigated peanut yield is ",Conventional!$P$7," lbs. and non-irrigated corn yield is ",Conventional!$R$7," bu.")</f>
        <v>Non-irrigated peanut yield is 3400 lbs. and non-irrigated corn yield is 85 bu.</v>
      </c>
      <c r="C270" s="432"/>
      <c r="D270" s="432"/>
      <c r="E270" s="432"/>
      <c r="F270" s="432"/>
      <c r="G270" s="432"/>
      <c r="H270" s="432"/>
      <c r="I270" s="432"/>
      <c r="J270" s="176"/>
      <c r="K270" s="176"/>
    </row>
    <row r="271" spans="1:13" x14ac:dyDescent="0.2">
      <c r="A271" s="232" t="s">
        <v>89</v>
      </c>
      <c r="B271" s="432" t="s">
        <v>104</v>
      </c>
      <c r="C271" s="432"/>
      <c r="D271" s="432"/>
      <c r="E271" s="432"/>
      <c r="F271" s="432"/>
      <c r="G271" s="432"/>
      <c r="H271" s="432"/>
      <c r="I271" s="432"/>
      <c r="J271" s="432"/>
      <c r="K271" s="432"/>
      <c r="L271" s="432"/>
      <c r="M271" s="432"/>
    </row>
    <row r="301" spans="1:12" x14ac:dyDescent="0.2">
      <c r="A301" s="432" t="s">
        <v>93</v>
      </c>
      <c r="B301" s="432"/>
      <c r="C301" s="432"/>
      <c r="D301" s="432"/>
      <c r="E301" s="432"/>
      <c r="F301" s="432"/>
    </row>
    <row r="302" spans="1:12" x14ac:dyDescent="0.2">
      <c r="A302" s="232" t="s">
        <v>86</v>
      </c>
      <c r="B302" s="432" t="s">
        <v>99</v>
      </c>
      <c r="C302" s="432"/>
      <c r="D302" s="432"/>
      <c r="E302" s="432"/>
      <c r="F302" s="432"/>
      <c r="G302" s="432"/>
      <c r="H302" s="432"/>
      <c r="I302" s="432"/>
      <c r="J302" s="432"/>
      <c r="K302" s="432"/>
      <c r="L302" s="432"/>
    </row>
    <row r="303" spans="1:12" x14ac:dyDescent="0.2">
      <c r="A303" s="232" t="s">
        <v>87</v>
      </c>
      <c r="B303" s="432" t="str">
        <f>CONCATENATE("Irrigated soybean yield is ",Conventional!$H$7," bu. and irrigated corn yield is ",Conventional!$F$7," bu.")</f>
        <v>Irrigated soybean yield is 60 bu. and irrigated corn yield is 200 bu.</v>
      </c>
      <c r="C303" s="432"/>
      <c r="D303" s="432"/>
      <c r="E303" s="432"/>
      <c r="F303" s="432"/>
      <c r="G303" s="432"/>
      <c r="H303" s="432"/>
      <c r="I303" s="176"/>
      <c r="J303" s="176"/>
      <c r="K303" s="176"/>
    </row>
    <row r="304" spans="1:12" x14ac:dyDescent="0.2">
      <c r="A304" s="232" t="s">
        <v>88</v>
      </c>
      <c r="B304" s="432" t="str">
        <f>CONCATENATE("Non-irrigated soybean yield is ",Conventional!$T$7," bu. and non-irrigated corn yield is ",Conventional!$R$7," bu.")</f>
        <v>Non-irrigated soybean yield is 30 bu. and non-irrigated corn yield is 85 bu.</v>
      </c>
      <c r="C304" s="432"/>
      <c r="D304" s="432"/>
      <c r="E304" s="432"/>
      <c r="F304" s="432"/>
      <c r="G304" s="432"/>
      <c r="H304" s="432"/>
      <c r="I304" s="432"/>
      <c r="J304" s="176"/>
      <c r="K304" s="176"/>
    </row>
    <row r="305" spans="1:13" x14ac:dyDescent="0.2">
      <c r="A305" s="232" t="s">
        <v>89</v>
      </c>
      <c r="B305" s="432" t="s">
        <v>104</v>
      </c>
      <c r="C305" s="432"/>
      <c r="D305" s="432"/>
      <c r="E305" s="432"/>
      <c r="F305" s="432"/>
      <c r="G305" s="432"/>
      <c r="H305" s="432"/>
      <c r="I305" s="432"/>
      <c r="J305" s="432"/>
      <c r="K305" s="432"/>
      <c r="L305" s="432"/>
      <c r="M305" s="432"/>
    </row>
    <row r="334" spans="1:12" x14ac:dyDescent="0.2">
      <c r="A334" s="433" t="s">
        <v>93</v>
      </c>
      <c r="B334" s="433"/>
      <c r="C334" s="433"/>
      <c r="D334" s="433"/>
      <c r="E334" s="433"/>
      <c r="F334" s="433"/>
    </row>
    <row r="335" spans="1:12" x14ac:dyDescent="0.2">
      <c r="A335" s="232" t="s">
        <v>86</v>
      </c>
      <c r="B335" s="432" t="s">
        <v>100</v>
      </c>
      <c r="C335" s="432"/>
      <c r="D335" s="432"/>
      <c r="E335" s="432"/>
      <c r="F335" s="432"/>
      <c r="G335" s="432"/>
      <c r="H335" s="432"/>
      <c r="I335" s="432"/>
      <c r="J335" s="432"/>
      <c r="K335" s="432"/>
      <c r="L335" s="432"/>
    </row>
    <row r="336" spans="1:12" x14ac:dyDescent="0.2">
      <c r="A336" s="232" t="s">
        <v>87</v>
      </c>
      <c r="B336" s="432" t="str">
        <f>CONCATENATE("Irrigated cotton yield is ",Conventional!$B$7," lbs. and irrigated soybean yield is ",Conventional!$H$7," bu.")</f>
        <v>Irrigated cotton yield is 1200 lbs. and irrigated soybean yield is 60 bu.</v>
      </c>
      <c r="C336" s="432"/>
      <c r="D336" s="432"/>
      <c r="E336" s="432"/>
      <c r="F336" s="432"/>
      <c r="G336" s="432"/>
      <c r="H336" s="432"/>
      <c r="I336" s="176"/>
      <c r="J336" s="176"/>
      <c r="K336" s="176"/>
    </row>
    <row r="337" spans="1:13" x14ac:dyDescent="0.2">
      <c r="A337" s="232" t="s">
        <v>88</v>
      </c>
      <c r="B337" s="432" t="str">
        <f>CONCATENATE("Non-irrigated cotton yield is ",Conventional!$N$7," lbs. and non-irrigated soybean yield is ",Conventional!$T$7," bu.")</f>
        <v>Non-irrigated cotton yield is 750 lbs. and non-irrigated soybean yield is 30 bu.</v>
      </c>
      <c r="C337" s="432"/>
      <c r="D337" s="432"/>
      <c r="E337" s="432"/>
      <c r="F337" s="432"/>
      <c r="G337" s="432"/>
      <c r="H337" s="432"/>
      <c r="I337" s="432"/>
      <c r="J337" s="176"/>
      <c r="K337" s="176"/>
    </row>
    <row r="338" spans="1:13" x14ac:dyDescent="0.2">
      <c r="A338" s="232" t="s">
        <v>89</v>
      </c>
      <c r="B338" s="432" t="s">
        <v>104</v>
      </c>
      <c r="C338" s="432"/>
      <c r="D338" s="432"/>
      <c r="E338" s="432"/>
      <c r="F338" s="432"/>
      <c r="G338" s="432"/>
      <c r="H338" s="432"/>
      <c r="I338" s="432"/>
      <c r="J338" s="432"/>
      <c r="K338" s="432"/>
      <c r="L338" s="432"/>
      <c r="M338" s="432"/>
    </row>
    <row r="369" spans="1:13" x14ac:dyDescent="0.2">
      <c r="A369" s="432" t="s">
        <v>93</v>
      </c>
      <c r="B369" s="432"/>
      <c r="C369" s="432"/>
      <c r="D369" s="432"/>
      <c r="E369" s="432"/>
      <c r="F369" s="432"/>
    </row>
    <row r="370" spans="1:13" x14ac:dyDescent="0.2">
      <c r="A370" s="232" t="s">
        <v>86</v>
      </c>
      <c r="B370" s="432" t="s">
        <v>101</v>
      </c>
      <c r="C370" s="432"/>
      <c r="D370" s="432"/>
      <c r="E370" s="432"/>
      <c r="F370" s="432"/>
      <c r="G370" s="432"/>
      <c r="H370" s="432"/>
      <c r="I370" s="432"/>
      <c r="J370" s="432"/>
      <c r="K370" s="432"/>
      <c r="L370" s="432"/>
    </row>
    <row r="371" spans="1:13" x14ac:dyDescent="0.2">
      <c r="A371" s="232" t="s">
        <v>87</v>
      </c>
      <c r="B371" s="432" t="str">
        <f>CONCATENATE("Irrigated peanut yield is ",Conventional!$D$7," lbs. and irrigated soybean yield is ",Conventional!$H$7," bu.")</f>
        <v>Irrigated peanut yield is 4700 lbs. and irrigated soybean yield is 60 bu.</v>
      </c>
      <c r="C371" s="432"/>
      <c r="D371" s="432"/>
      <c r="E371" s="432"/>
      <c r="F371" s="432"/>
      <c r="G371" s="432"/>
      <c r="H371" s="432"/>
      <c r="I371" s="176"/>
      <c r="J371" s="176"/>
      <c r="K371" s="176"/>
    </row>
    <row r="372" spans="1:13" x14ac:dyDescent="0.2">
      <c r="A372" s="232" t="s">
        <v>88</v>
      </c>
      <c r="B372" s="432" t="str">
        <f>CONCATENATE("Non-irrigated peanut yield is ",Conventional!$P$7," lbs. and non-irrigated soybean yield is ",Conventional!$T$7," bu.")</f>
        <v>Non-irrigated peanut yield is 3400 lbs. and non-irrigated soybean yield is 30 bu.</v>
      </c>
      <c r="C372" s="432"/>
      <c r="D372" s="432"/>
      <c r="E372" s="432"/>
      <c r="F372" s="432"/>
      <c r="G372" s="432"/>
      <c r="H372" s="432"/>
      <c r="I372" s="432"/>
      <c r="J372" s="176"/>
      <c r="K372" s="176"/>
    </row>
    <row r="373" spans="1:13" x14ac:dyDescent="0.2">
      <c r="A373" s="232" t="s">
        <v>89</v>
      </c>
      <c r="B373" s="432" t="s">
        <v>104</v>
      </c>
      <c r="C373" s="432"/>
      <c r="D373" s="432"/>
      <c r="E373" s="432"/>
      <c r="F373" s="432"/>
      <c r="G373" s="432"/>
      <c r="H373" s="432"/>
      <c r="I373" s="432"/>
      <c r="J373" s="432"/>
      <c r="K373" s="432"/>
      <c r="L373" s="432"/>
      <c r="M373" s="432"/>
    </row>
    <row r="403" spans="1:13" x14ac:dyDescent="0.2">
      <c r="A403" s="432" t="s">
        <v>93</v>
      </c>
      <c r="B403" s="432"/>
      <c r="C403" s="432"/>
      <c r="D403" s="432"/>
      <c r="E403" s="432"/>
      <c r="F403" s="432"/>
    </row>
    <row r="404" spans="1:13" x14ac:dyDescent="0.2">
      <c r="A404" s="232" t="s">
        <v>86</v>
      </c>
      <c r="B404" s="432" t="s">
        <v>102</v>
      </c>
      <c r="C404" s="432"/>
      <c r="D404" s="432"/>
      <c r="E404" s="432"/>
      <c r="F404" s="432"/>
      <c r="G404" s="432"/>
      <c r="H404" s="432"/>
      <c r="I404" s="432"/>
      <c r="J404" s="432"/>
      <c r="K404" s="432"/>
      <c r="L404" s="432"/>
    </row>
    <row r="405" spans="1:13" x14ac:dyDescent="0.2">
      <c r="A405" s="232" t="s">
        <v>87</v>
      </c>
      <c r="B405" s="432" t="str">
        <f>CONCATENATE("Irrigated corn yield is ",Conventional!$F$7," bu. and irrigated soybean yield is ",Conventional!$H$7," bu.")</f>
        <v>Irrigated corn yield is 200 bu. and irrigated soybean yield is 60 bu.</v>
      </c>
      <c r="C405" s="432"/>
      <c r="D405" s="432"/>
      <c r="E405" s="432"/>
      <c r="F405" s="432"/>
      <c r="G405" s="432"/>
      <c r="H405" s="432"/>
      <c r="I405" s="176"/>
      <c r="J405" s="176"/>
      <c r="K405" s="176"/>
    </row>
    <row r="406" spans="1:13" x14ac:dyDescent="0.2">
      <c r="A406" s="232" t="s">
        <v>88</v>
      </c>
      <c r="B406" s="432" t="str">
        <f>CONCATENATE("Non-irrigated corn yield is ",Conventional!$R$7," bu. and non-irrigated soybean yield is ",Conventional!$T$7," bu.")</f>
        <v>Non-irrigated corn yield is 85 bu. and non-irrigated soybean yield is 30 bu.</v>
      </c>
      <c r="C406" s="432"/>
      <c r="D406" s="432"/>
      <c r="E406" s="432"/>
      <c r="F406" s="432"/>
      <c r="G406" s="432"/>
      <c r="H406" s="432"/>
      <c r="I406" s="432"/>
      <c r="J406" s="176"/>
      <c r="K406" s="176"/>
    </row>
    <row r="407" spans="1:13" x14ac:dyDescent="0.2">
      <c r="A407" s="232" t="s">
        <v>89</v>
      </c>
      <c r="B407" s="432" t="s">
        <v>104</v>
      </c>
      <c r="C407" s="432"/>
      <c r="D407" s="432"/>
      <c r="E407" s="432"/>
      <c r="F407" s="432"/>
      <c r="G407" s="432"/>
      <c r="H407" s="432"/>
      <c r="I407" s="432"/>
      <c r="J407" s="432"/>
      <c r="K407" s="432"/>
      <c r="L407" s="432"/>
      <c r="M407" s="432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N.B. Smith and W.D. Shurley&amp;RAg and Applied Economics, 1/2015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9:M407"/>
  <sheetViews>
    <sheetView zoomScale="110" zoomScaleNormal="110" zoomScaleSheetLayoutView="100" workbookViewId="0">
      <selection activeCell="B32" sqref="B32:I32"/>
    </sheetView>
  </sheetViews>
  <sheetFormatPr defaultColWidth="8.85546875" defaultRowHeight="12.75" x14ac:dyDescent="0.2"/>
  <cols>
    <col min="1" max="1" width="8.85546875" style="101"/>
    <col min="2" max="2" width="8.85546875" style="176"/>
    <col min="3" max="26" width="8.85546875" style="101"/>
    <col min="27" max="27" width="8.85546875" style="101" customWidth="1"/>
    <col min="28" max="16384" width="8.85546875" style="101"/>
  </cols>
  <sheetData>
    <row r="29" spans="1:11" x14ac:dyDescent="0.2">
      <c r="A29" s="433" t="s">
        <v>93</v>
      </c>
      <c r="B29" s="433"/>
      <c r="C29" s="433"/>
      <c r="D29" s="433"/>
      <c r="E29" s="433"/>
      <c r="F29" s="433"/>
    </row>
    <row r="30" spans="1:11" x14ac:dyDescent="0.2">
      <c r="A30" s="232" t="s">
        <v>86</v>
      </c>
      <c r="B30" s="432" t="s">
        <v>90</v>
      </c>
      <c r="C30" s="432"/>
      <c r="D30" s="432"/>
      <c r="E30" s="432"/>
      <c r="F30" s="432"/>
      <c r="G30" s="432"/>
      <c r="H30" s="432"/>
      <c r="I30" s="432"/>
      <c r="J30" s="432"/>
      <c r="K30" s="432"/>
    </row>
    <row r="31" spans="1:11" x14ac:dyDescent="0.2">
      <c r="A31" s="232" t="s">
        <v>87</v>
      </c>
      <c r="B31" s="432" t="str">
        <f>CONCATENATE("Irrigated peanut yield is ",'Strip-Till'!$D$7," lbs. and irrigated cotton yield is ",'Strip-Till'!B7," lbs.")</f>
        <v>Irrigated peanut yield is 4700 lbs. and irrigated cotton yield is 1200 lbs.</v>
      </c>
      <c r="C31" s="432"/>
      <c r="D31" s="432"/>
      <c r="E31" s="432"/>
      <c r="F31" s="432"/>
      <c r="G31" s="432"/>
      <c r="H31" s="432"/>
      <c r="I31" s="176"/>
      <c r="J31" s="176"/>
      <c r="K31" s="176"/>
    </row>
    <row r="32" spans="1:11" x14ac:dyDescent="0.2">
      <c r="A32" s="232" t="s">
        <v>88</v>
      </c>
      <c r="B32" s="432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32"/>
      <c r="D32" s="432"/>
      <c r="E32" s="432"/>
      <c r="F32" s="432"/>
      <c r="G32" s="432"/>
      <c r="H32" s="432"/>
      <c r="I32" s="432"/>
      <c r="J32" s="176"/>
      <c r="K32" s="176"/>
    </row>
    <row r="33" spans="1:13" x14ac:dyDescent="0.2">
      <c r="A33" s="232" t="s">
        <v>89</v>
      </c>
      <c r="B33" s="432" t="s">
        <v>103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</row>
    <row r="63" spans="1:11" x14ac:dyDescent="0.2">
      <c r="A63" s="432" t="s">
        <v>93</v>
      </c>
      <c r="B63" s="432"/>
      <c r="C63" s="432"/>
      <c r="D63" s="432"/>
      <c r="E63" s="432"/>
      <c r="F63" s="432"/>
    </row>
    <row r="64" spans="1:11" x14ac:dyDescent="0.2">
      <c r="A64" s="232" t="s">
        <v>86</v>
      </c>
      <c r="B64" s="432" t="s">
        <v>91</v>
      </c>
      <c r="C64" s="432"/>
      <c r="D64" s="432"/>
      <c r="E64" s="432"/>
      <c r="F64" s="432"/>
      <c r="G64" s="432"/>
      <c r="H64" s="432"/>
      <c r="I64" s="432"/>
      <c r="J64" s="432"/>
      <c r="K64" s="432"/>
    </row>
    <row r="65" spans="1:13" x14ac:dyDescent="0.2">
      <c r="A65" s="232" t="s">
        <v>87</v>
      </c>
      <c r="B65" s="432" t="str">
        <f>CONCATENATE("Irrigated corn yield is ",'Strip-Till'!F7," bu. and irrigated cotton yield is ",'Strip-Till'!B7," lbs.")</f>
        <v>Irrigated corn yield is 200 bu. and irrigated cotton yield is 1200 lbs.</v>
      </c>
      <c r="C65" s="432"/>
      <c r="D65" s="432"/>
      <c r="E65" s="432"/>
      <c r="F65" s="432"/>
      <c r="G65" s="432"/>
      <c r="H65" s="432"/>
      <c r="I65" s="176"/>
      <c r="J65" s="176"/>
      <c r="K65" s="176"/>
    </row>
    <row r="66" spans="1:13" x14ac:dyDescent="0.2">
      <c r="A66" s="232" t="s">
        <v>88</v>
      </c>
      <c r="B66" s="432" t="str">
        <f>CONCATENATE("Non-irrigated corn yield is ",'Strip-Till'!P7," bu. and non-irrigated cotton yield is ",'Strip-Till'!L7," lbs.")</f>
        <v>Non-irrigated corn yield is 85 bu. and non-irrigated cotton yield is 750 lbs.</v>
      </c>
      <c r="C66" s="432"/>
      <c r="D66" s="432"/>
      <c r="E66" s="432"/>
      <c r="F66" s="432"/>
      <c r="G66" s="432"/>
      <c r="H66" s="432"/>
      <c r="I66" s="432"/>
      <c r="J66" s="176"/>
      <c r="K66" s="176"/>
    </row>
    <row r="67" spans="1:13" x14ac:dyDescent="0.2">
      <c r="A67" s="232" t="s">
        <v>89</v>
      </c>
      <c r="B67" s="432" t="s">
        <v>103</v>
      </c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</row>
    <row r="97" spans="1:13" x14ac:dyDescent="0.2">
      <c r="A97" s="432" t="s">
        <v>93</v>
      </c>
      <c r="B97" s="432"/>
      <c r="C97" s="432"/>
      <c r="D97" s="432"/>
      <c r="E97" s="432"/>
      <c r="F97" s="432"/>
    </row>
    <row r="98" spans="1:13" x14ac:dyDescent="0.2">
      <c r="A98" s="232" t="s">
        <v>86</v>
      </c>
      <c r="B98" s="432" t="s">
        <v>92</v>
      </c>
      <c r="C98" s="432"/>
      <c r="D98" s="432"/>
      <c r="E98" s="432"/>
      <c r="F98" s="432"/>
      <c r="G98" s="432"/>
      <c r="H98" s="432"/>
      <c r="I98" s="432"/>
      <c r="J98" s="432"/>
      <c r="K98" s="432"/>
      <c r="L98" s="432"/>
    </row>
    <row r="99" spans="1:13" x14ac:dyDescent="0.2">
      <c r="A99" s="232" t="s">
        <v>87</v>
      </c>
      <c r="B99" s="432" t="str">
        <f>CONCATENATE("Irrigated soybean yield is ",'Strip-Till'!H7," bu. and irrigated cotton yield is ",'Strip-Till'!B7," lbs.")</f>
        <v>Irrigated soybean yield is 60 bu. and irrigated cotton yield is 1200 lbs.</v>
      </c>
      <c r="C99" s="432"/>
      <c r="D99" s="432"/>
      <c r="E99" s="432"/>
      <c r="F99" s="432"/>
      <c r="G99" s="432"/>
      <c r="H99" s="432"/>
      <c r="I99" s="176"/>
      <c r="J99" s="176"/>
      <c r="K99" s="176"/>
    </row>
    <row r="100" spans="1:13" x14ac:dyDescent="0.2">
      <c r="A100" s="232" t="s">
        <v>88</v>
      </c>
      <c r="B100" s="432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32"/>
      <c r="D100" s="432"/>
      <c r="E100" s="432"/>
      <c r="F100" s="432"/>
      <c r="G100" s="432"/>
      <c r="H100" s="432"/>
      <c r="I100" s="432"/>
      <c r="J100" s="176"/>
      <c r="K100" s="176"/>
    </row>
    <row r="101" spans="1:13" x14ac:dyDescent="0.2">
      <c r="A101" s="232" t="s">
        <v>89</v>
      </c>
      <c r="B101" s="432" t="s">
        <v>103</v>
      </c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</row>
    <row r="131" spans="1:13" x14ac:dyDescent="0.2">
      <c r="A131" s="433" t="s">
        <v>93</v>
      </c>
      <c r="B131" s="433"/>
      <c r="C131" s="433"/>
      <c r="D131" s="433"/>
      <c r="E131" s="433"/>
      <c r="F131" s="433"/>
    </row>
    <row r="132" spans="1:13" x14ac:dyDescent="0.2">
      <c r="A132" s="232" t="s">
        <v>86</v>
      </c>
      <c r="B132" s="432" t="s">
        <v>94</v>
      </c>
      <c r="C132" s="432"/>
      <c r="D132" s="432"/>
      <c r="E132" s="432"/>
      <c r="F132" s="432"/>
      <c r="G132" s="432"/>
      <c r="H132" s="432"/>
      <c r="I132" s="432"/>
      <c r="J132" s="432"/>
      <c r="K132" s="432"/>
    </row>
    <row r="133" spans="1:13" x14ac:dyDescent="0.2">
      <c r="A133" s="232" t="s">
        <v>87</v>
      </c>
      <c r="B133" s="432" t="str">
        <f>CONCATENATE("Irrigated cotton yield is ",'Strip-Till'!B7," lbs. and irrigated peanut yield is ",'Strip-Till'!D7," lbs.")</f>
        <v>Irrigated cotton yield is 1200 lbs. and irrigated peanut yield is 4700 lbs.</v>
      </c>
      <c r="C133" s="432"/>
      <c r="D133" s="432"/>
      <c r="E133" s="432"/>
      <c r="F133" s="432"/>
      <c r="G133" s="432"/>
      <c r="H133" s="432"/>
      <c r="I133" s="176"/>
      <c r="J133" s="176"/>
      <c r="K133" s="176"/>
    </row>
    <row r="134" spans="1:13" x14ac:dyDescent="0.2">
      <c r="A134" s="232" t="s">
        <v>88</v>
      </c>
      <c r="B134" s="432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32"/>
      <c r="D134" s="432"/>
      <c r="E134" s="432"/>
      <c r="F134" s="432"/>
      <c r="G134" s="432"/>
      <c r="H134" s="432"/>
      <c r="I134" s="432"/>
      <c r="J134" s="176"/>
      <c r="K134" s="176"/>
    </row>
    <row r="135" spans="1:13" x14ac:dyDescent="0.2">
      <c r="A135" s="232" t="s">
        <v>89</v>
      </c>
      <c r="B135" s="432" t="s">
        <v>103</v>
      </c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</row>
    <row r="165" spans="1:13" x14ac:dyDescent="0.2">
      <c r="A165" s="432" t="s">
        <v>93</v>
      </c>
      <c r="B165" s="432"/>
      <c r="C165" s="432"/>
      <c r="D165" s="432"/>
      <c r="E165" s="432"/>
      <c r="F165" s="432"/>
    </row>
    <row r="166" spans="1:13" x14ac:dyDescent="0.2">
      <c r="A166" s="232" t="s">
        <v>86</v>
      </c>
      <c r="B166" s="432" t="s">
        <v>95</v>
      </c>
      <c r="C166" s="432"/>
      <c r="D166" s="432"/>
      <c r="E166" s="432"/>
      <c r="F166" s="432"/>
      <c r="G166" s="432"/>
      <c r="H166" s="432"/>
      <c r="I166" s="432"/>
      <c r="J166" s="432"/>
      <c r="K166" s="432"/>
    </row>
    <row r="167" spans="1:13" x14ac:dyDescent="0.2">
      <c r="A167" s="232" t="s">
        <v>87</v>
      </c>
      <c r="B167" s="432" t="str">
        <f>CONCATENATE("Irrigated corn yield is ",'Strip-Till'!$F$7," bu. and irrigated peanut yield is ",'Strip-Till'!$D$7," lbs.")</f>
        <v>Irrigated corn yield is 200 bu. and irrigated peanut yield is 4700 lbs.</v>
      </c>
      <c r="C167" s="432"/>
      <c r="D167" s="432"/>
      <c r="E167" s="432"/>
      <c r="F167" s="432"/>
      <c r="G167" s="432"/>
      <c r="H167" s="432"/>
      <c r="I167" s="176"/>
      <c r="J167" s="176"/>
      <c r="K167" s="176"/>
    </row>
    <row r="168" spans="1:13" x14ac:dyDescent="0.2">
      <c r="A168" s="232" t="s">
        <v>88</v>
      </c>
      <c r="B168" s="432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32"/>
      <c r="D168" s="432"/>
      <c r="E168" s="432"/>
      <c r="F168" s="432"/>
      <c r="G168" s="432"/>
      <c r="H168" s="432"/>
      <c r="I168" s="432"/>
      <c r="J168" s="176"/>
      <c r="K168" s="176"/>
    </row>
    <row r="169" spans="1:13" x14ac:dyDescent="0.2">
      <c r="A169" s="232" t="s">
        <v>89</v>
      </c>
      <c r="B169" s="432" t="s">
        <v>103</v>
      </c>
      <c r="C169" s="432"/>
      <c r="D169" s="432"/>
      <c r="E169" s="432"/>
      <c r="F169" s="432"/>
      <c r="G169" s="432"/>
      <c r="H169" s="432"/>
      <c r="I169" s="432"/>
      <c r="J169" s="432"/>
      <c r="K169" s="432"/>
      <c r="L169" s="432"/>
      <c r="M169" s="432"/>
    </row>
    <row r="199" spans="1:13" x14ac:dyDescent="0.2">
      <c r="A199" s="432" t="s">
        <v>93</v>
      </c>
      <c r="B199" s="432"/>
      <c r="C199" s="432"/>
      <c r="D199" s="432"/>
      <c r="E199" s="432"/>
      <c r="F199" s="432"/>
    </row>
    <row r="200" spans="1:13" x14ac:dyDescent="0.2">
      <c r="A200" s="232" t="s">
        <v>86</v>
      </c>
      <c r="B200" s="432" t="s">
        <v>96</v>
      </c>
      <c r="C200" s="432"/>
      <c r="D200" s="432"/>
      <c r="E200" s="432"/>
      <c r="F200" s="432"/>
      <c r="G200" s="432"/>
      <c r="H200" s="432"/>
      <c r="I200" s="432"/>
      <c r="J200" s="432"/>
      <c r="K200" s="432"/>
      <c r="L200" s="432"/>
    </row>
    <row r="201" spans="1:13" x14ac:dyDescent="0.2">
      <c r="A201" s="232" t="s">
        <v>87</v>
      </c>
      <c r="B201" s="432" t="str">
        <f>CONCATENATE("Irrigated soybean yield is ",'Strip-Till'!$H$7," bu. and irrigated peanut yield is ",'Strip-Till'!$D$7," lbs.")</f>
        <v>Irrigated soybean yield is 60 bu. and irrigated peanut yield is 4700 lbs.</v>
      </c>
      <c r="C201" s="432"/>
      <c r="D201" s="432"/>
      <c r="E201" s="432"/>
      <c r="F201" s="432"/>
      <c r="G201" s="432"/>
      <c r="H201" s="432"/>
      <c r="I201" s="176"/>
      <c r="J201" s="176"/>
      <c r="K201" s="176"/>
    </row>
    <row r="202" spans="1:13" x14ac:dyDescent="0.2">
      <c r="A202" s="232" t="s">
        <v>88</v>
      </c>
      <c r="B202" s="432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32"/>
      <c r="D202" s="432"/>
      <c r="E202" s="432"/>
      <c r="F202" s="432"/>
      <c r="G202" s="432"/>
      <c r="H202" s="432"/>
      <c r="I202" s="432"/>
      <c r="J202" s="176"/>
      <c r="K202" s="176"/>
    </row>
    <row r="203" spans="1:13" x14ac:dyDescent="0.2">
      <c r="A203" s="232" t="s">
        <v>89</v>
      </c>
      <c r="B203" s="432" t="s">
        <v>103</v>
      </c>
      <c r="C203" s="432"/>
      <c r="D203" s="432"/>
      <c r="E203" s="432"/>
      <c r="F203" s="432"/>
      <c r="G203" s="432"/>
      <c r="H203" s="432"/>
      <c r="I203" s="432"/>
      <c r="J203" s="432"/>
      <c r="K203" s="432"/>
      <c r="L203" s="432"/>
      <c r="M203" s="432"/>
    </row>
    <row r="233" spans="1:13" x14ac:dyDescent="0.2">
      <c r="A233" s="433" t="s">
        <v>93</v>
      </c>
      <c r="B233" s="433"/>
      <c r="C233" s="433"/>
      <c r="D233" s="433"/>
      <c r="E233" s="433"/>
      <c r="F233" s="433"/>
    </row>
    <row r="234" spans="1:13" x14ac:dyDescent="0.2">
      <c r="A234" s="232" t="s">
        <v>86</v>
      </c>
      <c r="B234" s="432" t="s">
        <v>97</v>
      </c>
      <c r="C234" s="432"/>
      <c r="D234" s="432"/>
      <c r="E234" s="432"/>
      <c r="F234" s="432"/>
      <c r="G234" s="432"/>
      <c r="H234" s="432"/>
      <c r="I234" s="432"/>
      <c r="J234" s="432"/>
      <c r="K234" s="432"/>
    </row>
    <row r="235" spans="1:13" x14ac:dyDescent="0.2">
      <c r="A235" s="232" t="s">
        <v>87</v>
      </c>
      <c r="B235" s="432" t="str">
        <f>CONCATENATE("Irrigated cotton yield is ",'Strip-Till'!$B$7," lbs. and irrigated corn yield is ",'Strip-Till'!$F$7," bu.")</f>
        <v>Irrigated cotton yield is 1200 lbs. and irrigated corn yield is 200 bu.</v>
      </c>
      <c r="C235" s="432"/>
      <c r="D235" s="432"/>
      <c r="E235" s="432"/>
      <c r="F235" s="432"/>
      <c r="G235" s="432"/>
      <c r="H235" s="432"/>
      <c r="I235" s="176"/>
      <c r="J235" s="176"/>
      <c r="K235" s="176"/>
    </row>
    <row r="236" spans="1:13" x14ac:dyDescent="0.2">
      <c r="A236" s="232" t="s">
        <v>88</v>
      </c>
      <c r="B236" s="432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32"/>
      <c r="D236" s="432"/>
      <c r="E236" s="432"/>
      <c r="F236" s="432"/>
      <c r="G236" s="432"/>
      <c r="H236" s="432"/>
      <c r="I236" s="432"/>
      <c r="J236" s="176"/>
      <c r="K236" s="176"/>
    </row>
    <row r="237" spans="1:13" x14ac:dyDescent="0.2">
      <c r="A237" s="232" t="s">
        <v>89</v>
      </c>
      <c r="B237" s="432" t="s">
        <v>103</v>
      </c>
      <c r="C237" s="432"/>
      <c r="D237" s="432"/>
      <c r="E237" s="432"/>
      <c r="F237" s="432"/>
      <c r="G237" s="432"/>
      <c r="H237" s="432"/>
      <c r="I237" s="432"/>
      <c r="J237" s="432"/>
      <c r="K237" s="432"/>
      <c r="L237" s="432"/>
      <c r="M237" s="432"/>
    </row>
    <row r="267" spans="1:13" x14ac:dyDescent="0.2">
      <c r="A267" s="432" t="s">
        <v>93</v>
      </c>
      <c r="B267" s="432"/>
      <c r="C267" s="432"/>
      <c r="D267" s="432"/>
      <c r="E267" s="432"/>
      <c r="F267" s="432"/>
    </row>
    <row r="268" spans="1:13" x14ac:dyDescent="0.2">
      <c r="A268" s="232" t="s">
        <v>86</v>
      </c>
      <c r="B268" s="432" t="s">
        <v>98</v>
      </c>
      <c r="C268" s="432"/>
      <c r="D268" s="432"/>
      <c r="E268" s="432"/>
      <c r="F268" s="432"/>
      <c r="G268" s="432"/>
      <c r="H268" s="432"/>
      <c r="I268" s="432"/>
      <c r="J268" s="432"/>
      <c r="K268" s="432"/>
    </row>
    <row r="269" spans="1:13" x14ac:dyDescent="0.2">
      <c r="A269" s="232" t="s">
        <v>87</v>
      </c>
      <c r="B269" s="432" t="str">
        <f>CONCATENATE("Irrigated peanut yield is ",'Strip-Till'!$D$7," lbs. and irrigated corn yield is ",'Strip-Till'!$F$7," bu.")</f>
        <v>Irrigated peanut yield is 4700 lbs. and irrigated corn yield is 200 bu.</v>
      </c>
      <c r="C269" s="432"/>
      <c r="D269" s="432"/>
      <c r="E269" s="432"/>
      <c r="F269" s="432"/>
      <c r="G269" s="432"/>
      <c r="H269" s="432"/>
      <c r="I269" s="176"/>
      <c r="J269" s="176"/>
      <c r="K269" s="176"/>
    </row>
    <row r="270" spans="1:13" x14ac:dyDescent="0.2">
      <c r="A270" s="232" t="s">
        <v>88</v>
      </c>
      <c r="B270" s="432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32"/>
      <c r="D270" s="432"/>
      <c r="E270" s="432"/>
      <c r="F270" s="432"/>
      <c r="G270" s="432"/>
      <c r="H270" s="432"/>
      <c r="I270" s="432"/>
      <c r="J270" s="176"/>
      <c r="K270" s="176"/>
    </row>
    <row r="271" spans="1:13" x14ac:dyDescent="0.2">
      <c r="A271" s="232" t="s">
        <v>89</v>
      </c>
      <c r="B271" s="432" t="s">
        <v>103</v>
      </c>
      <c r="C271" s="432"/>
      <c r="D271" s="432"/>
      <c r="E271" s="432"/>
      <c r="F271" s="432"/>
      <c r="G271" s="432"/>
      <c r="H271" s="432"/>
      <c r="I271" s="432"/>
      <c r="J271" s="432"/>
      <c r="K271" s="432"/>
      <c r="L271" s="432"/>
      <c r="M271" s="432"/>
    </row>
    <row r="301" spans="1:12" x14ac:dyDescent="0.2">
      <c r="A301" s="432" t="s">
        <v>93</v>
      </c>
      <c r="B301" s="432"/>
      <c r="C301" s="432"/>
      <c r="D301" s="432"/>
      <c r="E301" s="432"/>
      <c r="F301" s="432"/>
    </row>
    <row r="302" spans="1:12" x14ac:dyDescent="0.2">
      <c r="A302" s="232" t="s">
        <v>86</v>
      </c>
      <c r="B302" s="432" t="s">
        <v>99</v>
      </c>
      <c r="C302" s="432"/>
      <c r="D302" s="432"/>
      <c r="E302" s="432"/>
      <c r="F302" s="432"/>
      <c r="G302" s="432"/>
      <c r="H302" s="432"/>
      <c r="I302" s="432"/>
      <c r="J302" s="432"/>
      <c r="K302" s="432"/>
      <c r="L302" s="432"/>
    </row>
    <row r="303" spans="1:12" x14ac:dyDescent="0.2">
      <c r="A303" s="232" t="s">
        <v>87</v>
      </c>
      <c r="B303" s="432" t="str">
        <f>CONCATENATE("Irrigated soybean yield is ",'Strip-Till'!$H$7," bu. and irrigated corn yield is ",'Strip-Till'!$F$7," bu.")</f>
        <v>Irrigated soybean yield is 60 bu. and irrigated corn yield is 200 bu.</v>
      </c>
      <c r="C303" s="432"/>
      <c r="D303" s="432"/>
      <c r="E303" s="432"/>
      <c r="F303" s="432"/>
      <c r="G303" s="432"/>
      <c r="H303" s="432"/>
      <c r="I303" s="176"/>
      <c r="J303" s="176"/>
      <c r="K303" s="176"/>
    </row>
    <row r="304" spans="1:12" x14ac:dyDescent="0.2">
      <c r="A304" s="232" t="s">
        <v>88</v>
      </c>
      <c r="B304" s="432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32"/>
      <c r="D304" s="432"/>
      <c r="E304" s="432"/>
      <c r="F304" s="432"/>
      <c r="G304" s="432"/>
      <c r="H304" s="432"/>
      <c r="I304" s="432"/>
      <c r="J304" s="176"/>
      <c r="K304" s="176"/>
    </row>
    <row r="305" spans="1:13" x14ac:dyDescent="0.2">
      <c r="A305" s="232" t="s">
        <v>89</v>
      </c>
      <c r="B305" s="432" t="s">
        <v>103</v>
      </c>
      <c r="C305" s="432"/>
      <c r="D305" s="432"/>
      <c r="E305" s="432"/>
      <c r="F305" s="432"/>
      <c r="G305" s="432"/>
      <c r="H305" s="432"/>
      <c r="I305" s="432"/>
      <c r="J305" s="432"/>
      <c r="K305" s="432"/>
      <c r="L305" s="432"/>
      <c r="M305" s="432"/>
    </row>
    <row r="334" spans="1:12" x14ac:dyDescent="0.2">
      <c r="A334" s="433" t="s">
        <v>93</v>
      </c>
      <c r="B334" s="433"/>
      <c r="C334" s="433"/>
      <c r="D334" s="433"/>
      <c r="E334" s="433"/>
      <c r="F334" s="433"/>
    </row>
    <row r="335" spans="1:12" x14ac:dyDescent="0.2">
      <c r="A335" s="232" t="s">
        <v>86</v>
      </c>
      <c r="B335" s="432" t="s">
        <v>100</v>
      </c>
      <c r="C335" s="432"/>
      <c r="D335" s="432"/>
      <c r="E335" s="432"/>
      <c r="F335" s="432"/>
      <c r="G335" s="432"/>
      <c r="H335" s="432"/>
      <c r="I335" s="432"/>
      <c r="J335" s="432"/>
      <c r="K335" s="432"/>
      <c r="L335" s="432"/>
    </row>
    <row r="336" spans="1:12" x14ac:dyDescent="0.2">
      <c r="A336" s="232" t="s">
        <v>87</v>
      </c>
      <c r="B336" s="432" t="str">
        <f>CONCATENATE("Irrigated cotton yield is ",'Strip-Till'!$B$7," lbs. and irrigated soybean yield is ",'Strip-Till'!$H$7," bu.")</f>
        <v>Irrigated cotton yield is 1200 lbs. and irrigated soybean yield is 60 bu.</v>
      </c>
      <c r="C336" s="432"/>
      <c r="D336" s="432"/>
      <c r="E336" s="432"/>
      <c r="F336" s="432"/>
      <c r="G336" s="432"/>
      <c r="H336" s="432"/>
      <c r="I336" s="176"/>
      <c r="J336" s="176"/>
      <c r="K336" s="176"/>
    </row>
    <row r="337" spans="1:13" x14ac:dyDescent="0.2">
      <c r="A337" s="232" t="s">
        <v>88</v>
      </c>
      <c r="B337" s="432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32"/>
      <c r="D337" s="432"/>
      <c r="E337" s="432"/>
      <c r="F337" s="432"/>
      <c r="G337" s="432"/>
      <c r="H337" s="432"/>
      <c r="I337" s="432"/>
      <c r="J337" s="176"/>
      <c r="K337" s="176"/>
    </row>
    <row r="338" spans="1:13" x14ac:dyDescent="0.2">
      <c r="A338" s="232" t="s">
        <v>89</v>
      </c>
      <c r="B338" s="432" t="s">
        <v>103</v>
      </c>
      <c r="C338" s="432"/>
      <c r="D338" s="432"/>
      <c r="E338" s="432"/>
      <c r="F338" s="432"/>
      <c r="G338" s="432"/>
      <c r="H338" s="432"/>
      <c r="I338" s="432"/>
      <c r="J338" s="432"/>
      <c r="K338" s="432"/>
      <c r="L338" s="432"/>
      <c r="M338" s="432"/>
    </row>
    <row r="369" spans="1:13" x14ac:dyDescent="0.2">
      <c r="A369" s="432" t="s">
        <v>93</v>
      </c>
      <c r="B369" s="432"/>
      <c r="C369" s="432"/>
      <c r="D369" s="432"/>
      <c r="E369" s="432"/>
      <c r="F369" s="432"/>
    </row>
    <row r="370" spans="1:13" x14ac:dyDescent="0.2">
      <c r="A370" s="232" t="s">
        <v>86</v>
      </c>
      <c r="B370" s="432" t="s">
        <v>101</v>
      </c>
      <c r="C370" s="432"/>
      <c r="D370" s="432"/>
      <c r="E370" s="432"/>
      <c r="F370" s="432"/>
      <c r="G370" s="432"/>
      <c r="H370" s="432"/>
      <c r="I370" s="432"/>
      <c r="J370" s="432"/>
      <c r="K370" s="432"/>
      <c r="L370" s="432"/>
    </row>
    <row r="371" spans="1:13" x14ac:dyDescent="0.2">
      <c r="A371" s="232" t="s">
        <v>87</v>
      </c>
      <c r="B371" s="432" t="str">
        <f>CONCATENATE("Irrigated peanut yield is ",'Strip-Till'!$D$7," lbs. and irrigated soybean yield is ",'Strip-Till'!$H$7," bu.")</f>
        <v>Irrigated peanut yield is 4700 lbs. and irrigated soybean yield is 60 bu.</v>
      </c>
      <c r="C371" s="432"/>
      <c r="D371" s="432"/>
      <c r="E371" s="432"/>
      <c r="F371" s="432"/>
      <c r="G371" s="432"/>
      <c r="H371" s="432"/>
      <c r="I371" s="176"/>
      <c r="J371" s="176"/>
      <c r="K371" s="176"/>
    </row>
    <row r="372" spans="1:13" x14ac:dyDescent="0.2">
      <c r="A372" s="232" t="s">
        <v>88</v>
      </c>
      <c r="B372" s="432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32"/>
      <c r="D372" s="432"/>
      <c r="E372" s="432"/>
      <c r="F372" s="432"/>
      <c r="G372" s="432"/>
      <c r="H372" s="432"/>
      <c r="I372" s="432"/>
      <c r="J372" s="176"/>
      <c r="K372" s="176"/>
    </row>
    <row r="373" spans="1:13" x14ac:dyDescent="0.2">
      <c r="A373" s="232" t="s">
        <v>89</v>
      </c>
      <c r="B373" s="432" t="s">
        <v>103</v>
      </c>
      <c r="C373" s="432"/>
      <c r="D373" s="432"/>
      <c r="E373" s="432"/>
      <c r="F373" s="432"/>
      <c r="G373" s="432"/>
      <c r="H373" s="432"/>
      <c r="I373" s="432"/>
      <c r="J373" s="432"/>
      <c r="K373" s="432"/>
      <c r="L373" s="432"/>
      <c r="M373" s="432"/>
    </row>
    <row r="403" spans="1:13" x14ac:dyDescent="0.2">
      <c r="A403" s="432" t="s">
        <v>93</v>
      </c>
      <c r="B403" s="432"/>
      <c r="C403" s="432"/>
      <c r="D403" s="432"/>
      <c r="E403" s="432"/>
      <c r="F403" s="432"/>
    </row>
    <row r="404" spans="1:13" x14ac:dyDescent="0.2">
      <c r="A404" s="232" t="s">
        <v>86</v>
      </c>
      <c r="B404" s="432" t="s">
        <v>102</v>
      </c>
      <c r="C404" s="432"/>
      <c r="D404" s="432"/>
      <c r="E404" s="432"/>
      <c r="F404" s="432"/>
      <c r="G404" s="432"/>
      <c r="H404" s="432"/>
      <c r="I404" s="432"/>
      <c r="J404" s="432"/>
      <c r="K404" s="432"/>
      <c r="L404" s="432"/>
    </row>
    <row r="405" spans="1:13" x14ac:dyDescent="0.2">
      <c r="A405" s="232" t="s">
        <v>87</v>
      </c>
      <c r="B405" s="432" t="str">
        <f>CONCATENATE("Irrigated corn yield is ",'Strip-Till'!$F$7," bu. and irrigated soybean yield is ",'Strip-Till'!$H$7," bu.")</f>
        <v>Irrigated corn yield is 200 bu. and irrigated soybean yield is 60 bu.</v>
      </c>
      <c r="C405" s="432"/>
      <c r="D405" s="432"/>
      <c r="E405" s="432"/>
      <c r="F405" s="432"/>
      <c r="G405" s="432"/>
      <c r="H405" s="432"/>
      <c r="I405" s="176"/>
      <c r="J405" s="176"/>
      <c r="K405" s="176"/>
    </row>
    <row r="406" spans="1:13" x14ac:dyDescent="0.2">
      <c r="A406" s="232" t="s">
        <v>88</v>
      </c>
      <c r="B406" s="432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32"/>
      <c r="D406" s="432"/>
      <c r="E406" s="432"/>
      <c r="F406" s="432"/>
      <c r="G406" s="432"/>
      <c r="H406" s="432"/>
      <c r="I406" s="432"/>
      <c r="J406" s="176"/>
      <c r="K406" s="176"/>
    </row>
    <row r="407" spans="1:13" x14ac:dyDescent="0.2">
      <c r="A407" s="232" t="s">
        <v>89</v>
      </c>
      <c r="B407" s="432" t="s">
        <v>103</v>
      </c>
      <c r="C407" s="432"/>
      <c r="D407" s="432"/>
      <c r="E407" s="432"/>
      <c r="F407" s="432"/>
      <c r="G407" s="432"/>
      <c r="H407" s="432"/>
      <c r="I407" s="432"/>
      <c r="J407" s="432"/>
      <c r="K407" s="432"/>
      <c r="L407" s="432"/>
      <c r="M407" s="432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N.B. Smith and W. D. Shurley&amp;RAg and Applied Economics, 1/2015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439" t="s">
        <v>45</v>
      </c>
      <c r="C1" s="439"/>
      <c r="D1" s="439"/>
      <c r="E1" s="439"/>
      <c r="F1" s="439"/>
      <c r="G1" s="439"/>
      <c r="H1" s="61"/>
    </row>
    <row r="2" spans="1:13" s="62" customFormat="1" ht="12" hidden="1" x14ac:dyDescent="0.2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Conventional!L6</f>
        <v>Wheat</v>
      </c>
      <c r="H2" s="61"/>
    </row>
    <row r="3" spans="1:13" s="62" customFormat="1" ht="12" hidden="1" x14ac:dyDescent="0.2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Conventional!L7</f>
        <v>75</v>
      </c>
      <c r="H3" s="66"/>
    </row>
    <row r="4" spans="1:13" s="62" customFormat="1" ht="12" hidden="1" x14ac:dyDescent="0.2">
      <c r="A4" s="62" t="s">
        <v>42</v>
      </c>
      <c r="B4" s="67">
        <f>Conventional!B8</f>
        <v>0.7</v>
      </c>
      <c r="C4" s="68">
        <f>Conventional!D8</f>
        <v>400</v>
      </c>
      <c r="D4" s="69">
        <f>Conventional!F8</f>
        <v>4.25</v>
      </c>
      <c r="E4" s="69">
        <f>Conventional!H8</f>
        <v>9.75</v>
      </c>
      <c r="F4" s="69">
        <f>Conventional!J8</f>
        <v>3.8</v>
      </c>
      <c r="G4" s="69">
        <f>Conventional!L8</f>
        <v>5.25</v>
      </c>
      <c r="H4" s="69"/>
    </row>
    <row r="5" spans="1:13" s="62" customFormat="1" ht="12" hidden="1" x14ac:dyDescent="0.2">
      <c r="A5" s="70" t="s">
        <v>44</v>
      </c>
      <c r="B5" s="71">
        <f>B3*B4</f>
        <v>840</v>
      </c>
      <c r="C5" s="71">
        <f>C3*C4/2000</f>
        <v>940</v>
      </c>
      <c r="D5" s="71">
        <f>D3*D4</f>
        <v>850</v>
      </c>
      <c r="E5" s="71">
        <f>E3*E4</f>
        <v>585</v>
      </c>
      <c r="F5" s="71">
        <f>F3*F4</f>
        <v>380</v>
      </c>
      <c r="G5" s="71">
        <f>G3*G4</f>
        <v>393.75</v>
      </c>
      <c r="H5" s="72"/>
    </row>
    <row r="6" spans="1:13" s="62" customFormat="1" ht="12" hidden="1" x14ac:dyDescent="0.2">
      <c r="A6" s="70" t="s">
        <v>43</v>
      </c>
      <c r="B6" s="73">
        <f>Conventional!B30</f>
        <v>517.16891826316294</v>
      </c>
      <c r="C6" s="73">
        <f>Conventional!D30</f>
        <v>635.63587500000006</v>
      </c>
      <c r="D6" s="73">
        <f>Conventional!F30</f>
        <v>657.15054999999995</v>
      </c>
      <c r="E6" s="73">
        <f>Conventional!H30</f>
        <v>290.24882145000004</v>
      </c>
      <c r="F6" s="73">
        <f>Conventional!J30</f>
        <v>346.05618833333335</v>
      </c>
      <c r="G6" s="73">
        <f>Conventional!L30</f>
        <v>319.83724743749997</v>
      </c>
      <c r="H6" s="68"/>
    </row>
    <row r="7" spans="1:13" s="62" customFormat="1" ht="15.75" x14ac:dyDescent="0.25">
      <c r="A7" s="440" t="s">
        <v>129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1" t="s">
        <v>155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</row>
    <row r="10" spans="1:13" x14ac:dyDescent="0.2">
      <c r="A10" s="435" t="s">
        <v>47</v>
      </c>
      <c r="B10" s="435"/>
      <c r="C10" s="435"/>
      <c r="D10" s="435"/>
      <c r="E10" s="435"/>
      <c r="F10" s="435"/>
      <c r="H10" s="435" t="s">
        <v>50</v>
      </c>
      <c r="I10" s="435"/>
      <c r="J10" s="435"/>
      <c r="K10" s="435"/>
      <c r="L10" s="435"/>
      <c r="M10" s="435"/>
    </row>
    <row r="11" spans="1:13" s="62" customFormat="1" ht="12" x14ac:dyDescent="0.2">
      <c r="A11" s="434" t="s">
        <v>36</v>
      </c>
      <c r="B11" s="434"/>
      <c r="C11" s="434"/>
      <c r="D11" s="434"/>
      <c r="E11" s="434"/>
      <c r="F11" s="434"/>
      <c r="H11" s="438" t="s">
        <v>36</v>
      </c>
      <c r="I11" s="438"/>
      <c r="J11" s="438"/>
      <c r="K11" s="438"/>
      <c r="L11" s="438"/>
      <c r="M11" s="438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2.9749999999999996</v>
      </c>
      <c r="B14" s="85">
        <f>$A$14*B$13-$D$6</f>
        <v>-210.90055000000001</v>
      </c>
      <c r="C14" s="85">
        <f>$A$14*C$13-$D$6</f>
        <v>-121.65055000000007</v>
      </c>
      <c r="D14" s="85">
        <f>$A$14*D$13-$D$6</f>
        <v>-62.150550000000067</v>
      </c>
      <c r="E14" s="85">
        <f>$A$14*E$13-$D$6</f>
        <v>-2.6505499999999529</v>
      </c>
      <c r="F14" s="85">
        <f>$A$14*F$13-$D$6</f>
        <v>86.599449999999933</v>
      </c>
      <c r="H14" s="84">
        <f>H16*0.7</f>
        <v>0.48999999999999994</v>
      </c>
      <c r="I14" s="87">
        <f>$H$14*$I$13-$B$6</f>
        <v>-76.168918263162993</v>
      </c>
      <c r="J14" s="87">
        <f>$H$14*J13-$B$6</f>
        <v>12.031081736836995</v>
      </c>
      <c r="K14" s="87">
        <f>$H$14*K13-$B$6</f>
        <v>70.83108173683695</v>
      </c>
      <c r="L14" s="87">
        <f>$H$14*L13-$B$6</f>
        <v>129.63108173683702</v>
      </c>
      <c r="M14" s="87">
        <f>$H$14*M13-$B$6</f>
        <v>217.83108173683695</v>
      </c>
    </row>
    <row r="15" spans="1:13" x14ac:dyDescent="0.2">
      <c r="A15" s="86">
        <f>A16*0.85</f>
        <v>3.6124999999999998</v>
      </c>
      <c r="B15" s="87">
        <f>$A$15*B$13-$D$6</f>
        <v>-115.27554999999995</v>
      </c>
      <c r="C15" s="87">
        <f>$A$15*C$13-$D$6</f>
        <v>-6.9005499999999529</v>
      </c>
      <c r="D15" s="87">
        <f>$A$15*D$13-$D$6</f>
        <v>65.349450000000047</v>
      </c>
      <c r="E15" s="87">
        <f>$A$15*E$13-$D$6</f>
        <v>137.59945000000016</v>
      </c>
      <c r="F15" s="87">
        <f>$A$15*F$13-$D$6</f>
        <v>245.97445000000005</v>
      </c>
      <c r="H15" s="86">
        <f>H16*0.85</f>
        <v>0.59499999999999997</v>
      </c>
      <c r="I15" s="87">
        <f>$H$15*$I$13-$B$6</f>
        <v>18.331081736837064</v>
      </c>
      <c r="J15" s="87">
        <f>$H$15*J13-$B$6</f>
        <v>125.43108173683709</v>
      </c>
      <c r="K15" s="87">
        <f>$H$15*K13-$B$6</f>
        <v>196.83108173683706</v>
      </c>
      <c r="L15" s="87">
        <f>$H$15*L13-$B$6</f>
        <v>268.23108173683704</v>
      </c>
      <c r="M15" s="87">
        <f>$H$15*M13-$B$6</f>
        <v>375.33108173683706</v>
      </c>
    </row>
    <row r="16" spans="1:13" x14ac:dyDescent="0.2">
      <c r="A16" s="86">
        <f>D4</f>
        <v>4.25</v>
      </c>
      <c r="B16" s="87">
        <f>$A$16*B$13-$D$6</f>
        <v>-19.650549999999953</v>
      </c>
      <c r="C16" s="87">
        <f>$A$16*C$13-$D$6</f>
        <v>107.84945000000005</v>
      </c>
      <c r="D16" s="87">
        <f>$A$16*D$13-$D$6</f>
        <v>192.84945000000005</v>
      </c>
      <c r="E16" s="87">
        <f>$A$16*E$13-$D$6</f>
        <v>277.84945000000016</v>
      </c>
      <c r="F16" s="87">
        <f>$A$16*F$13-$D$6</f>
        <v>405.34945000000005</v>
      </c>
      <c r="H16" s="86">
        <f>B4</f>
        <v>0.7</v>
      </c>
      <c r="I16" s="87">
        <f>$H$16*$I$13-$B$6</f>
        <v>112.83108173683706</v>
      </c>
      <c r="J16" s="87">
        <f>$H$16*J13-$B$6</f>
        <v>238.83108173683706</v>
      </c>
      <c r="K16" s="87">
        <f>$H$16*K13-$B$6</f>
        <v>322.83108173683706</v>
      </c>
      <c r="L16" s="87">
        <f>$H$16*L13-$B$6</f>
        <v>406.83108173683695</v>
      </c>
      <c r="M16" s="87">
        <f>$H$16*M13-$B$6</f>
        <v>532.83108173683706</v>
      </c>
    </row>
    <row r="17" spans="1:13" x14ac:dyDescent="0.2">
      <c r="A17" s="86">
        <f>A16*1.15</f>
        <v>4.8874999999999993</v>
      </c>
      <c r="B17" s="87">
        <f>$A$17*B$13-$D$6</f>
        <v>75.974449999999933</v>
      </c>
      <c r="C17" s="87">
        <f>$A$17*C$13-$D$6</f>
        <v>222.59944999999993</v>
      </c>
      <c r="D17" s="87">
        <f>$A$17*D$13-$D$6</f>
        <v>320.34944999999993</v>
      </c>
      <c r="E17" s="87">
        <f>$A$17*E$13-$D$6</f>
        <v>418.09945000000005</v>
      </c>
      <c r="F17" s="87">
        <f>$A$17*F$13-$D$6</f>
        <v>564.72444999999982</v>
      </c>
      <c r="H17" s="86">
        <f>H16*1.15</f>
        <v>0.80499999999999994</v>
      </c>
      <c r="I17" s="87">
        <f>$H$17*$I$13-$B$6</f>
        <v>207.33108173683706</v>
      </c>
      <c r="J17" s="87">
        <f>$H$17*J13-$B$6</f>
        <v>352.23108173683704</v>
      </c>
      <c r="K17" s="87">
        <f>$H$17*K13-$B$6</f>
        <v>448.83108173683695</v>
      </c>
      <c r="L17" s="87">
        <f>$H$17*L13-$B$6</f>
        <v>545.43108173683697</v>
      </c>
      <c r="M17" s="87">
        <f>$H$17*M13-$B$6</f>
        <v>690.33108173683706</v>
      </c>
    </row>
    <row r="18" spans="1:13" x14ac:dyDescent="0.2">
      <c r="A18" s="88">
        <f>A16*1.3</f>
        <v>5.5250000000000004</v>
      </c>
      <c r="B18" s="89">
        <f>$A$18*B$13-$D$6</f>
        <v>171.59945000000005</v>
      </c>
      <c r="C18" s="89">
        <f>$A$18*C$13-$D$6</f>
        <v>337.34945000000016</v>
      </c>
      <c r="D18" s="89">
        <f>$A$18*D$13-$D$6</f>
        <v>447.84945000000005</v>
      </c>
      <c r="E18" s="89">
        <f>$A$18*E$13-$D$6</f>
        <v>558.34945000000027</v>
      </c>
      <c r="F18" s="89">
        <f>$A$18*F$13-$D$6</f>
        <v>724.09945000000005</v>
      </c>
      <c r="H18" s="88">
        <f>H16*1.3</f>
        <v>0.90999999999999992</v>
      </c>
      <c r="I18" s="89">
        <f>$H$18*$I$13-$B$6</f>
        <v>301.83108173683695</v>
      </c>
      <c r="J18" s="89">
        <f>$H$18*J13-$B$6</f>
        <v>465.63108173683702</v>
      </c>
      <c r="K18" s="89">
        <f>$H$18*K13-$B$6</f>
        <v>574.83108173683706</v>
      </c>
      <c r="L18" s="89">
        <f>$H$18*L13-$B$6</f>
        <v>684.03108173683688</v>
      </c>
      <c r="M18" s="89">
        <f>$H$18*M13-$B$6</f>
        <v>847.83108173683684</v>
      </c>
    </row>
    <row r="20" spans="1:13" x14ac:dyDescent="0.2">
      <c r="A20" s="435" t="s">
        <v>48</v>
      </c>
      <c r="B20" s="435"/>
      <c r="C20" s="435"/>
      <c r="D20" s="435"/>
      <c r="E20" s="435"/>
      <c r="F20" s="435"/>
      <c r="H20" s="436" t="s">
        <v>120</v>
      </c>
      <c r="I20" s="436"/>
      <c r="J20" s="436"/>
      <c r="K20" s="436"/>
      <c r="L20" s="436"/>
      <c r="M20" s="436"/>
    </row>
    <row r="21" spans="1:13" s="62" customFormat="1" ht="12" x14ac:dyDescent="0.2">
      <c r="A21" s="434" t="s">
        <v>36</v>
      </c>
      <c r="B21" s="434"/>
      <c r="C21" s="434"/>
      <c r="D21" s="434"/>
      <c r="E21" s="434"/>
      <c r="F21" s="434"/>
      <c r="H21" s="437" t="s">
        <v>36</v>
      </c>
      <c r="I21" s="437"/>
      <c r="J21" s="437"/>
      <c r="K21" s="437"/>
      <c r="L21" s="437"/>
      <c r="M21" s="437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2.6599999999999997</v>
      </c>
      <c r="B24" s="85">
        <f>$A$24*B$23-$F$6</f>
        <v>-146.55618833333338</v>
      </c>
      <c r="C24" s="85">
        <f>$A$24*C$23-$F$6</f>
        <v>-106.65618833333338</v>
      </c>
      <c r="D24" s="85">
        <f>$A$24*D$23-$F$6</f>
        <v>-80.056188333333409</v>
      </c>
      <c r="E24" s="85">
        <f>$A$24*E$23-$F$6</f>
        <v>-53.45618833333333</v>
      </c>
      <c r="F24" s="85">
        <f>$A$24*F$23-$F$6</f>
        <v>-13.556188333333409</v>
      </c>
      <c r="H24" s="90">
        <f>H26*0.7</f>
        <v>280</v>
      </c>
      <c r="I24" s="85">
        <f>$H$24*I$23/2000-$C$6</f>
        <v>-142.13587500000006</v>
      </c>
      <c r="J24" s="85">
        <f>$H$24*J$23/2000-$C$6</f>
        <v>-43.43587500000001</v>
      </c>
      <c r="K24" s="85">
        <f>$H$24*K$23/2000-$C$6</f>
        <v>22.364124999999945</v>
      </c>
      <c r="L24" s="85">
        <f>$H$24*L$23/2000-$C$6</f>
        <v>88.164124999999899</v>
      </c>
      <c r="M24" s="85">
        <f>$H$24*M$23/2000-$C$6</f>
        <v>186.86412499999994</v>
      </c>
    </row>
    <row r="25" spans="1:13" x14ac:dyDescent="0.2">
      <c r="A25" s="86">
        <f>A26*0.85</f>
        <v>3.23</v>
      </c>
      <c r="B25" s="87">
        <f>$A$25*B$23-$F$6</f>
        <v>-103.80618833333335</v>
      </c>
      <c r="C25" s="87">
        <f>$A$25*C$23-$F$6</f>
        <v>-55.356188333333364</v>
      </c>
      <c r="D25" s="87">
        <f>$A$25*D$23-$F$6</f>
        <v>-23.056188333333353</v>
      </c>
      <c r="E25" s="87">
        <f>$A$25*E$23-$F$6</f>
        <v>9.2438116666667156</v>
      </c>
      <c r="F25" s="87">
        <f>$A$25*F$23-$F$6</f>
        <v>57.693811666666647</v>
      </c>
      <c r="H25" s="91">
        <f>H26*0.85</f>
        <v>340</v>
      </c>
      <c r="I25" s="87">
        <f>$H$25*I$23/2000-$C$6</f>
        <v>-36.385875000000055</v>
      </c>
      <c r="J25" s="87">
        <f>$H$25*J$23/2000-$C$6</f>
        <v>83.464124999999967</v>
      </c>
      <c r="K25" s="87">
        <f>$H$25*K$23/2000-$C$6</f>
        <v>163.36412499999994</v>
      </c>
      <c r="L25" s="87">
        <f>$H$25*L$23/2000-$C$6</f>
        <v>243.26412499999992</v>
      </c>
      <c r="M25" s="87">
        <f>$H$25*M$23/2000-$C$6</f>
        <v>363.11412499999994</v>
      </c>
    </row>
    <row r="26" spans="1:13" x14ac:dyDescent="0.2">
      <c r="A26" s="86">
        <f>F4</f>
        <v>3.8</v>
      </c>
      <c r="B26" s="87">
        <f>$A$26*B$23-$F$6</f>
        <v>-61.056188333333353</v>
      </c>
      <c r="C26" s="87">
        <f>$A$26*C$23-$F$6</f>
        <v>-4.0561883333333526</v>
      </c>
      <c r="D26" s="87">
        <f>$A$26*D$23-$F$6</f>
        <v>33.943811666666647</v>
      </c>
      <c r="E26" s="87">
        <f>$A$26*E$23-$F$6</f>
        <v>71.943811666666704</v>
      </c>
      <c r="F26" s="87">
        <f>$A$26*F$23-$F$6</f>
        <v>128.94381166666665</v>
      </c>
      <c r="H26" s="91">
        <f>C4</f>
        <v>400</v>
      </c>
      <c r="I26" s="87">
        <f>$H$26*I$23/2000-$C$6</f>
        <v>69.364124999999945</v>
      </c>
      <c r="J26" s="87">
        <f>$H$26*J$23/2000-$C$6</f>
        <v>210.36412499999994</v>
      </c>
      <c r="K26" s="87">
        <f>$H$26*K$23/2000-$C$6</f>
        <v>304.36412499999994</v>
      </c>
      <c r="L26" s="87">
        <f>$H$26*L$23/2000-$C$6</f>
        <v>398.36412499999994</v>
      </c>
      <c r="M26" s="87">
        <f>$H$26*M$23/2000-$C$6</f>
        <v>539.36412499999994</v>
      </c>
    </row>
    <row r="27" spans="1:13" x14ac:dyDescent="0.2">
      <c r="A27" s="86">
        <f>A26*1.15</f>
        <v>4.3699999999999992</v>
      </c>
      <c r="B27" s="87">
        <f>$A$27*B$23-$F$6</f>
        <v>-18.306188333333409</v>
      </c>
      <c r="C27" s="87">
        <f>$A$27*C$23-$F$6</f>
        <v>47.243811666666602</v>
      </c>
      <c r="D27" s="87">
        <f>$A$27*D$23-$F$6</f>
        <v>90.943811666666591</v>
      </c>
      <c r="E27" s="87">
        <f>$A$27*E$23-$F$6</f>
        <v>134.64381166666664</v>
      </c>
      <c r="F27" s="87">
        <f>$A$27*F$23-$F$6</f>
        <v>200.19381166666653</v>
      </c>
      <c r="H27" s="91">
        <f>H26*1.15</f>
        <v>459.99999999999994</v>
      </c>
      <c r="I27" s="87">
        <f>$H$27*I$23/2000-$C$6</f>
        <v>175.11412499999983</v>
      </c>
      <c r="J27" s="87">
        <f>$H$27*J$23/2000-$C$6</f>
        <v>337.26412499999981</v>
      </c>
      <c r="K27" s="87">
        <f>$H$27*K$23/2000-$C$6</f>
        <v>445.36412499999972</v>
      </c>
      <c r="L27" s="87">
        <f>$H$27*L$23/2000-$C$6</f>
        <v>553.46412499999963</v>
      </c>
      <c r="M27" s="87">
        <f>$H$27*M$23/2000-$C$6</f>
        <v>715.61412499999972</v>
      </c>
    </row>
    <row r="28" spans="1:13" x14ac:dyDescent="0.2">
      <c r="A28" s="88">
        <f>A26*1.3</f>
        <v>4.9399999999999995</v>
      </c>
      <c r="B28" s="89">
        <f>$A$28*B$23-$F$6</f>
        <v>24.443811666666591</v>
      </c>
      <c r="C28" s="89">
        <f>$A$28*C$23-$F$6</f>
        <v>98.543811666666613</v>
      </c>
      <c r="D28" s="89">
        <f>$A$28*D$23-$F$6</f>
        <v>147.94381166666659</v>
      </c>
      <c r="E28" s="89">
        <f>$A$28*E$23-$F$6</f>
        <v>197.34381166666662</v>
      </c>
      <c r="F28" s="89">
        <f>$A$28*F$23-$F$6</f>
        <v>271.44381166666653</v>
      </c>
      <c r="H28" s="92">
        <f>H26*1.3</f>
        <v>520</v>
      </c>
      <c r="I28" s="89">
        <f>$H$28*I$23/2000-$C$6</f>
        <v>280.86412499999994</v>
      </c>
      <c r="J28" s="89">
        <f>$H$28*J$23/2000-$C$6</f>
        <v>464.1641249999999</v>
      </c>
      <c r="K28" s="89">
        <f>$H$28*K$23/2000-$C$6</f>
        <v>586.36412499999994</v>
      </c>
      <c r="L28" s="89">
        <f>$H$28*L$23/2000-$C$6</f>
        <v>708.56412499999999</v>
      </c>
      <c r="M28" s="89">
        <f>$H$28*M$23/2000-$C$6</f>
        <v>891.86412499999994</v>
      </c>
    </row>
    <row r="30" spans="1:13" x14ac:dyDescent="0.2">
      <c r="A30" s="435" t="s">
        <v>49</v>
      </c>
      <c r="B30" s="435"/>
      <c r="C30" s="435"/>
      <c r="D30" s="435"/>
      <c r="E30" s="435"/>
      <c r="F30" s="435"/>
      <c r="H30" s="435" t="s">
        <v>64</v>
      </c>
      <c r="I30" s="435"/>
      <c r="J30" s="435"/>
      <c r="K30" s="435"/>
      <c r="L30" s="435"/>
      <c r="M30" s="435"/>
    </row>
    <row r="31" spans="1:13" s="62" customFormat="1" ht="12" x14ac:dyDescent="0.2">
      <c r="A31" s="434" t="s">
        <v>36</v>
      </c>
      <c r="B31" s="434"/>
      <c r="C31" s="434"/>
      <c r="D31" s="434"/>
      <c r="E31" s="434"/>
      <c r="F31" s="434"/>
      <c r="H31" s="434" t="s">
        <v>36</v>
      </c>
      <c r="I31" s="434"/>
      <c r="J31" s="434"/>
      <c r="K31" s="434"/>
      <c r="L31" s="434"/>
      <c r="M31" s="434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6.8249999999999993</v>
      </c>
      <c r="B34" s="85">
        <f>$A$34*B$33-$E$6</f>
        <v>16.876178549999906</v>
      </c>
      <c r="C34" s="85">
        <f>$A$34*C$33-$E$6</f>
        <v>78.301178549999918</v>
      </c>
      <c r="D34" s="85">
        <f>$A$34*D$33-$E$6</f>
        <v>119.25117854999991</v>
      </c>
      <c r="E34" s="85">
        <f>$A$34*E$33-$E$6</f>
        <v>160.2011785499999</v>
      </c>
      <c r="F34" s="85">
        <f>$A$34*F$33-$E$6</f>
        <v>221.62617854999991</v>
      </c>
      <c r="H34" s="84">
        <f>H36*0.7</f>
        <v>3.6749999999999998</v>
      </c>
      <c r="I34" s="85">
        <f>$H$34*I$33-$G$6</f>
        <v>-113.11849743749997</v>
      </c>
      <c r="J34" s="85">
        <f>$H$34*J$33-$G$6</f>
        <v>-71.774747437499968</v>
      </c>
      <c r="K34" s="85">
        <f>$H$34*K$33-$G$6</f>
        <v>-44.212247437499968</v>
      </c>
      <c r="L34" s="85">
        <f>$H$34*L$33-$G$6</f>
        <v>-16.649747437499968</v>
      </c>
      <c r="M34" s="85">
        <f>$H$34*M$33-$G$6</f>
        <v>24.694002562500032</v>
      </c>
    </row>
    <row r="35" spans="1:13" x14ac:dyDescent="0.2">
      <c r="A35" s="86">
        <f>A36*0.85</f>
        <v>8.2874999999999996</v>
      </c>
      <c r="B35" s="87">
        <f>$A$35*B$33-$E$6</f>
        <v>82.688678549999963</v>
      </c>
      <c r="C35" s="87">
        <f>$A$35*C$33-$E$6</f>
        <v>157.27617854999994</v>
      </c>
      <c r="D35" s="87">
        <f>$A$35*D$33-$E$6</f>
        <v>207.00117854999996</v>
      </c>
      <c r="E35" s="87">
        <f>$A$35*E$33-$E$6</f>
        <v>256.72617854999999</v>
      </c>
      <c r="F35" s="87">
        <f>$A$35*F$33-$E$6</f>
        <v>331.31367854999996</v>
      </c>
      <c r="H35" s="86">
        <f>H36*0.85</f>
        <v>4.4624999999999995</v>
      </c>
      <c r="I35" s="87">
        <f>$H$35*I$33-$G$6</f>
        <v>-68.821622437499997</v>
      </c>
      <c r="J35" s="87">
        <f>$H$35*J$33-$G$6</f>
        <v>-18.618497437500025</v>
      </c>
      <c r="K35" s="87">
        <f>$H$35*K$33-$G$6</f>
        <v>14.850252562499975</v>
      </c>
      <c r="L35" s="87">
        <f>$H$35*L$33-$G$6</f>
        <v>48.319002562499975</v>
      </c>
      <c r="M35" s="87">
        <f>$H$35*M$33-$G$6</f>
        <v>98.522127562499975</v>
      </c>
    </row>
    <row r="36" spans="1:13" x14ac:dyDescent="0.2">
      <c r="A36" s="86">
        <f>E4</f>
        <v>9.75</v>
      </c>
      <c r="B36" s="87">
        <f>$A$36*B$33-$E$6</f>
        <v>148.50117854999996</v>
      </c>
      <c r="C36" s="87">
        <f>$A$36*C$33-$E$6</f>
        <v>236.25117854999996</v>
      </c>
      <c r="D36" s="87">
        <f>$A$36*D$33-$E$6</f>
        <v>294.75117854999996</v>
      </c>
      <c r="E36" s="87">
        <f>$A$36*E$33-$E$6</f>
        <v>353.25117854999996</v>
      </c>
      <c r="F36" s="87">
        <f>$A$36*F$33-$E$6</f>
        <v>441.00117854999996</v>
      </c>
      <c r="H36" s="86">
        <f>G4</f>
        <v>5.25</v>
      </c>
      <c r="I36" s="87">
        <f>$H$36*I$33-$G$6</f>
        <v>-24.524747437499968</v>
      </c>
      <c r="J36" s="87">
        <f>$H$36*J$33-$G$6</f>
        <v>34.537752562500032</v>
      </c>
      <c r="K36" s="87">
        <f>$H$36*K$33-$G$6</f>
        <v>73.912752562500032</v>
      </c>
      <c r="L36" s="87">
        <f>$H$36*L$33-$G$6</f>
        <v>113.28775256250003</v>
      </c>
      <c r="M36" s="87">
        <f>$H$36*M$33-$G$6</f>
        <v>172.35025256250003</v>
      </c>
    </row>
    <row r="37" spans="1:13" x14ac:dyDescent="0.2">
      <c r="A37" s="86">
        <f>A36*1.15</f>
        <v>11.212499999999999</v>
      </c>
      <c r="B37" s="87">
        <f>$A$37*B$33-$E$6</f>
        <v>214.31367854999991</v>
      </c>
      <c r="C37" s="87">
        <f>$A$37*C$33-$E$6</f>
        <v>315.22617854999987</v>
      </c>
      <c r="D37" s="87">
        <f>$A$37*D$33-$E$6</f>
        <v>382.50117854999985</v>
      </c>
      <c r="E37" s="87">
        <f>$A$37*E$33-$E$6</f>
        <v>449.77617854999983</v>
      </c>
      <c r="F37" s="87">
        <f>$A$37*F$33-$E$6</f>
        <v>550.68867854999985</v>
      </c>
      <c r="H37" s="86">
        <f>H36*1.15</f>
        <v>6.0374999999999996</v>
      </c>
      <c r="I37" s="87">
        <f>$H$37*I$33-$G$6</f>
        <v>19.772127562500032</v>
      </c>
      <c r="J37" s="87">
        <f>$H$37*J$33-$G$6</f>
        <v>87.694002562500032</v>
      </c>
      <c r="K37" s="87">
        <f>$H$37*K$33-$G$6</f>
        <v>132.97525256250003</v>
      </c>
      <c r="L37" s="87">
        <f>$H$37*L$33-$G$6</f>
        <v>178.25650256249997</v>
      </c>
      <c r="M37" s="87">
        <f>$H$37*M$33-$G$6</f>
        <v>246.17837756250003</v>
      </c>
    </row>
    <row r="38" spans="1:13" x14ac:dyDescent="0.2">
      <c r="A38" s="88">
        <f>A36*1.3</f>
        <v>12.675000000000001</v>
      </c>
      <c r="B38" s="89">
        <f>$A$38*B$33-$E$6</f>
        <v>280.12617854999996</v>
      </c>
      <c r="C38" s="89">
        <f>$A$38*C$33-$E$6</f>
        <v>394.20117855000001</v>
      </c>
      <c r="D38" s="89">
        <f>$A$38*D$33-$E$6</f>
        <v>470.25117854999996</v>
      </c>
      <c r="E38" s="89">
        <f>$A$38*E$33-$E$6</f>
        <v>546.30117855000003</v>
      </c>
      <c r="F38" s="89">
        <f>$A$38*F$33-$E$6</f>
        <v>660.37617854999996</v>
      </c>
      <c r="H38" s="88">
        <f>H36*1.3</f>
        <v>6.8250000000000002</v>
      </c>
      <c r="I38" s="89">
        <f>$H$38*I$33-$G$6</f>
        <v>64.069002562500032</v>
      </c>
      <c r="J38" s="89">
        <f>$H$38*J$33-$G$6</f>
        <v>140.85025256250003</v>
      </c>
      <c r="K38" s="89">
        <f>$H$38*K$33-$G$6</f>
        <v>192.03775256250003</v>
      </c>
      <c r="L38" s="89">
        <f>$H$38*L$33-$G$6</f>
        <v>243.22525256250003</v>
      </c>
      <c r="M38" s="89">
        <f>$H$38*M$33-$G$6</f>
        <v>320.00650256250003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 xml:space="preserve">&amp;L&amp;G&amp;C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439" t="s">
        <v>46</v>
      </c>
      <c r="C1" s="439"/>
      <c r="D1" s="439"/>
      <c r="E1" s="439"/>
      <c r="F1" s="439"/>
      <c r="G1" s="439"/>
    </row>
    <row r="2" spans="1:13" s="62" customFormat="1" ht="12" hidden="1" x14ac:dyDescent="0.2">
      <c r="A2" s="63" t="s">
        <v>40</v>
      </c>
      <c r="B2" s="64" t="str">
        <f>Conventional!N6</f>
        <v>Cotton</v>
      </c>
      <c r="C2" s="64" t="str">
        <f>Conventional!P6</f>
        <v>Peanuts</v>
      </c>
      <c r="D2" s="64" t="str">
        <f>Conventional!R6</f>
        <v>Corn</v>
      </c>
      <c r="E2" s="64" t="str">
        <f>Conventional!T6</f>
        <v>Soybeans</v>
      </c>
      <c r="F2" s="64" t="str">
        <f>Conventional!V6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41</v>
      </c>
      <c r="B3" s="65">
        <f>Conventional!N7</f>
        <v>750</v>
      </c>
      <c r="C3" s="65">
        <f>Conventional!P7</f>
        <v>3400</v>
      </c>
      <c r="D3" s="65">
        <f>Conventional!R7</f>
        <v>85</v>
      </c>
      <c r="E3" s="65">
        <f>Conventional!T7</f>
        <v>30</v>
      </c>
      <c r="F3" s="65">
        <f>Conventional!V7</f>
        <v>65</v>
      </c>
      <c r="G3" s="65">
        <f>Conventional!X7</f>
        <v>55</v>
      </c>
    </row>
    <row r="4" spans="1:13" s="62" customFormat="1" ht="12" hidden="1" x14ac:dyDescent="0.2">
      <c r="A4" s="62" t="s">
        <v>42</v>
      </c>
      <c r="B4" s="67">
        <f>Conventional!N8</f>
        <v>0.7</v>
      </c>
      <c r="C4" s="68">
        <f>Conventional!P8</f>
        <v>400</v>
      </c>
      <c r="D4" s="69">
        <f>Conventional!R8</f>
        <v>4.25</v>
      </c>
      <c r="E4" s="69">
        <f>Conventional!T8</f>
        <v>9.75</v>
      </c>
      <c r="F4" s="69">
        <f>Conventional!V8</f>
        <v>3.8</v>
      </c>
      <c r="G4" s="69">
        <f>Conventional!X8</f>
        <v>5.25</v>
      </c>
    </row>
    <row r="5" spans="1:13" s="62" customFormat="1" ht="12" hidden="1" x14ac:dyDescent="0.2">
      <c r="A5" s="70" t="s">
        <v>44</v>
      </c>
      <c r="B5" s="71">
        <f t="shared" ref="B5:G5" si="0">B3*B4</f>
        <v>525</v>
      </c>
      <c r="C5" s="71">
        <f>C3*C4/2000</f>
        <v>680</v>
      </c>
      <c r="D5" s="71">
        <f t="shared" si="0"/>
        <v>361.25</v>
      </c>
      <c r="E5" s="71">
        <f t="shared" si="0"/>
        <v>292.5</v>
      </c>
      <c r="F5" s="71">
        <f t="shared" si="0"/>
        <v>247</v>
      </c>
      <c r="G5" s="71">
        <f t="shared" si="0"/>
        <v>288.75</v>
      </c>
    </row>
    <row r="6" spans="1:13" s="62" customFormat="1" ht="12" hidden="1" x14ac:dyDescent="0.2">
      <c r="A6" s="70" t="s">
        <v>43</v>
      </c>
      <c r="B6" s="73">
        <f>Conventional!N30</f>
        <v>420.11674161174233</v>
      </c>
      <c r="C6" s="73">
        <f>Conventional!P30</f>
        <v>535.90442500000006</v>
      </c>
      <c r="D6" s="73">
        <f>Conventional!R30</f>
        <v>311.60782896249998</v>
      </c>
      <c r="E6" s="73">
        <f>Conventional!T30</f>
        <v>210.92940435000003</v>
      </c>
      <c r="F6" s="73">
        <f>Conventional!V30</f>
        <v>221.53118426249998</v>
      </c>
      <c r="G6" s="73">
        <f>Conventional!X30</f>
        <v>198.21493557499997</v>
      </c>
    </row>
    <row r="7" spans="1:13" s="62" customFormat="1" ht="15.75" x14ac:dyDescent="0.25">
      <c r="A7" s="442" t="s">
        <v>130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8" spans="1:13" s="62" customFormat="1" ht="15.75" x14ac:dyDescent="0.25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441" t="s">
        <v>155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</row>
    <row r="10" spans="1:13" x14ac:dyDescent="0.2">
      <c r="A10" s="435" t="s">
        <v>51</v>
      </c>
      <c r="B10" s="435"/>
      <c r="C10" s="435"/>
      <c r="D10" s="435"/>
      <c r="E10" s="435"/>
      <c r="F10" s="435"/>
      <c r="H10" s="435" t="s">
        <v>52</v>
      </c>
      <c r="I10" s="435"/>
      <c r="J10" s="435"/>
      <c r="K10" s="435"/>
      <c r="L10" s="435"/>
      <c r="M10" s="435"/>
    </row>
    <row r="11" spans="1:13" s="62" customFormat="1" ht="12" x14ac:dyDescent="0.2">
      <c r="A11" s="434" t="s">
        <v>36</v>
      </c>
      <c r="B11" s="434"/>
      <c r="C11" s="434"/>
      <c r="D11" s="434"/>
      <c r="E11" s="434"/>
      <c r="F11" s="434"/>
      <c r="H11" s="438" t="s">
        <v>36</v>
      </c>
      <c r="I11" s="438"/>
      <c r="J11" s="438"/>
      <c r="K11" s="438"/>
      <c r="L11" s="438"/>
      <c r="M11" s="438"/>
    </row>
    <row r="12" spans="1:13" x14ac:dyDescent="0.2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2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2.9749999999999996</v>
      </c>
      <c r="B14" s="85">
        <f>$A$14*B$13-$D$6</f>
        <v>-121.95157896250001</v>
      </c>
      <c r="C14" s="85">
        <f>$A$14*C$13-$D$6</f>
        <v>-84.020328962500002</v>
      </c>
      <c r="D14" s="85">
        <f>$A$14*D$13-$D$6</f>
        <v>-58.732828962500008</v>
      </c>
      <c r="E14" s="85">
        <f>$A$14*E$13-$D$6</f>
        <v>-33.445328962499957</v>
      </c>
      <c r="F14" s="85">
        <f>$A$14*F$13-$D$6</f>
        <v>4.4859210374999634</v>
      </c>
      <c r="H14" s="84">
        <f>Irrigated!H14</f>
        <v>0.48999999999999994</v>
      </c>
      <c r="I14" s="85">
        <f>$H$14*I$13-$B$6</f>
        <v>-144.49174161174238</v>
      </c>
      <c r="J14" s="85">
        <f>$H$14*J$13-$B$6</f>
        <v>-89.366741611742384</v>
      </c>
      <c r="K14" s="85">
        <f>$H$14*K$13-$B$6</f>
        <v>-52.616741611742384</v>
      </c>
      <c r="L14" s="85">
        <f>$H$14*L$13-$B$6</f>
        <v>-15.866741611742327</v>
      </c>
      <c r="M14" s="85">
        <f>$H$14*M$13-$B$6</f>
        <v>39.258258388257616</v>
      </c>
    </row>
    <row r="15" spans="1:13" x14ac:dyDescent="0.2">
      <c r="A15" s="86">
        <f>Irrigated!A15</f>
        <v>3.6124999999999998</v>
      </c>
      <c r="B15" s="87">
        <f>$A$15*B$13-$D$6</f>
        <v>-81.31095396249998</v>
      </c>
      <c r="C15" s="87">
        <f>$A$15*C$13-$D$6</f>
        <v>-35.251578962499991</v>
      </c>
      <c r="D15" s="87">
        <f>$A$15*D$13-$D$6</f>
        <v>-4.5453289624999798</v>
      </c>
      <c r="E15" s="87">
        <f>$A$15*E$13-$D$6</f>
        <v>26.160921037500032</v>
      </c>
      <c r="F15" s="87">
        <f>$A$15*F$13-$D$6</f>
        <v>72.22029603750002</v>
      </c>
      <c r="H15" s="86">
        <f>Irrigated!H15</f>
        <v>0.59499999999999997</v>
      </c>
      <c r="I15" s="87">
        <f>$H$15*I$13-$B$6</f>
        <v>-85.429241611742327</v>
      </c>
      <c r="J15" s="87">
        <f>$H$15*J$13-$B$6</f>
        <v>-18.491741611742327</v>
      </c>
      <c r="K15" s="87">
        <f>$H$15*K$13-$B$6</f>
        <v>26.133258388257673</v>
      </c>
      <c r="L15" s="87">
        <f>$H$15*L$13-$B$6</f>
        <v>70.75825838825773</v>
      </c>
      <c r="M15" s="87">
        <f>$H$15*M$13-$B$6</f>
        <v>137.69575838825767</v>
      </c>
    </row>
    <row r="16" spans="1:13" x14ac:dyDescent="0.2">
      <c r="A16" s="86">
        <f>Irrigated!A16</f>
        <v>4.25</v>
      </c>
      <c r="B16" s="87">
        <f>$A$16*B$13-$D$6</f>
        <v>-40.67032896249998</v>
      </c>
      <c r="C16" s="87">
        <f>$A$16*C$13-$D$6</f>
        <v>13.51717103750002</v>
      </c>
      <c r="D16" s="87">
        <f>$A$16*D$13-$D$6</f>
        <v>49.64217103750002</v>
      </c>
      <c r="E16" s="87">
        <f>$A$16*E$13-$D$6</f>
        <v>85.767171037500077</v>
      </c>
      <c r="F16" s="87">
        <f>$A$16*F$13-$D$6</f>
        <v>139.95467103750002</v>
      </c>
      <c r="H16" s="86">
        <f>Irrigated!H16</f>
        <v>0.7</v>
      </c>
      <c r="I16" s="87">
        <f>$H$16*I$13-$B$6</f>
        <v>-26.366741611742327</v>
      </c>
      <c r="J16" s="87">
        <f>$H$16*J$13-$B$6</f>
        <v>52.383258388257616</v>
      </c>
      <c r="K16" s="87">
        <f>$H$16*K$13-$B$6</f>
        <v>104.88325838825767</v>
      </c>
      <c r="L16" s="87">
        <f>$H$16*L$13-$B$6</f>
        <v>157.38325838825767</v>
      </c>
      <c r="M16" s="87">
        <f>$H$16*M$13-$B$6</f>
        <v>236.13325838825767</v>
      </c>
    </row>
    <row r="17" spans="1:13" x14ac:dyDescent="0.2">
      <c r="A17" s="86">
        <f>Irrigated!A17</f>
        <v>4.8874999999999993</v>
      </c>
      <c r="B17" s="87">
        <f>$A$17*B$13-$D$6</f>
        <v>-2.9703962500036596E-2</v>
      </c>
      <c r="C17" s="87">
        <f>$A$17*C$13-$D$6</f>
        <v>62.285921037499975</v>
      </c>
      <c r="D17" s="87">
        <f>$A$17*D$13-$D$6</f>
        <v>103.82967103749996</v>
      </c>
      <c r="E17" s="87">
        <f>$A$17*E$13-$D$6</f>
        <v>145.37342103750001</v>
      </c>
      <c r="F17" s="87">
        <f>$A$17*F$13-$D$6</f>
        <v>207.68904603749991</v>
      </c>
      <c r="H17" s="86">
        <f>Irrigated!H17</f>
        <v>0.80499999999999994</v>
      </c>
      <c r="I17" s="87">
        <f>$H$17*I$13-$B$6</f>
        <v>32.695758388257616</v>
      </c>
      <c r="J17" s="87">
        <f>$H$17*J$13-$B$6</f>
        <v>123.25825838825767</v>
      </c>
      <c r="K17" s="87">
        <f>$H$17*K$13-$B$6</f>
        <v>183.63325838825767</v>
      </c>
      <c r="L17" s="87">
        <f>$H$17*L$13-$B$6</f>
        <v>244.00825838825767</v>
      </c>
      <c r="M17" s="87">
        <f>$H$17*M$13-$B$6</f>
        <v>334.57075838825756</v>
      </c>
    </row>
    <row r="18" spans="1:13" x14ac:dyDescent="0.2">
      <c r="A18" s="88">
        <f>Irrigated!A18</f>
        <v>5.5250000000000004</v>
      </c>
      <c r="B18" s="89">
        <f>$A$18*B$13-$D$6</f>
        <v>40.61092103750002</v>
      </c>
      <c r="C18" s="89">
        <f>$A$18*C$13-$D$6</f>
        <v>111.05467103750004</v>
      </c>
      <c r="D18" s="89">
        <f>$A$18*D$13-$D$6</f>
        <v>158.01717103750008</v>
      </c>
      <c r="E18" s="89">
        <f>$A$18*E$13-$D$6</f>
        <v>204.97967103750011</v>
      </c>
      <c r="F18" s="89">
        <f>$A$18*F$13-$D$6</f>
        <v>275.42342103750002</v>
      </c>
      <c r="H18" s="88">
        <f>Irrigated!H18</f>
        <v>0.90999999999999992</v>
      </c>
      <c r="I18" s="89">
        <f>$H$18*I$13-$B$6</f>
        <v>91.758258388257616</v>
      </c>
      <c r="J18" s="89">
        <f>$H$18*J$13-$B$6</f>
        <v>194.13325838825767</v>
      </c>
      <c r="K18" s="89">
        <f>$H$18*K$13-$B$6</f>
        <v>262.38325838825756</v>
      </c>
      <c r="L18" s="89">
        <f>$H$18*L$13-$B$6</f>
        <v>330.63325838825767</v>
      </c>
      <c r="M18" s="89">
        <f>$H$18*M$13-$B$6</f>
        <v>433.00825838825756</v>
      </c>
    </row>
    <row r="20" spans="1:13" x14ac:dyDescent="0.2">
      <c r="A20" s="435" t="s">
        <v>54</v>
      </c>
      <c r="B20" s="435"/>
      <c r="C20" s="435"/>
      <c r="D20" s="435"/>
      <c r="E20" s="435"/>
      <c r="F20" s="435"/>
      <c r="H20" s="436" t="s">
        <v>121</v>
      </c>
      <c r="I20" s="436"/>
      <c r="J20" s="436"/>
      <c r="K20" s="436"/>
      <c r="L20" s="436"/>
      <c r="M20" s="436"/>
    </row>
    <row r="21" spans="1:13" s="62" customFormat="1" ht="12" x14ac:dyDescent="0.2">
      <c r="A21" s="434" t="s">
        <v>36</v>
      </c>
      <c r="B21" s="434"/>
      <c r="C21" s="434"/>
      <c r="D21" s="434"/>
      <c r="E21" s="434"/>
      <c r="F21" s="434"/>
      <c r="H21" s="437" t="s">
        <v>36</v>
      </c>
      <c r="I21" s="437"/>
      <c r="J21" s="437"/>
      <c r="K21" s="437"/>
      <c r="L21" s="437"/>
      <c r="M21" s="437"/>
    </row>
    <row r="22" spans="1:13" x14ac:dyDescent="0.2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2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2.6599999999999997</v>
      </c>
      <c r="B24" s="85">
        <f>$A$24*B$23-$F$6</f>
        <v>-91.856184262499994</v>
      </c>
      <c r="C24" s="85">
        <f>$A$24*C$23-$F$6</f>
        <v>-65.921184262499992</v>
      </c>
      <c r="D24" s="85">
        <f>$A$24*D$23-$F$6</f>
        <v>-48.6311842625</v>
      </c>
      <c r="E24" s="85">
        <f>$A$24*E$23-$F$6</f>
        <v>-31.341184262500008</v>
      </c>
      <c r="F24" s="85">
        <f>$A$24*F$23-$F$6</f>
        <v>-5.4061842625000054</v>
      </c>
      <c r="H24" s="90">
        <f>Irrigated!H24</f>
        <v>280</v>
      </c>
      <c r="I24" s="85">
        <f>$H$24*I$23/2000-$C$6</f>
        <v>-178.90442500000006</v>
      </c>
      <c r="J24" s="85">
        <f>$H$24*J$23/2000-$C$6</f>
        <v>-107.50442500000008</v>
      </c>
      <c r="K24" s="85">
        <f>$H$24*K$23/2000-$C$6</f>
        <v>-59.90442500000006</v>
      </c>
      <c r="L24" s="85">
        <f>$H$24*L$23/2000-$C$6</f>
        <v>-12.304425000000037</v>
      </c>
      <c r="M24" s="85">
        <f>$H$24*M$23/2000-$C$6</f>
        <v>59.09557499999994</v>
      </c>
    </row>
    <row r="25" spans="1:13" x14ac:dyDescent="0.2">
      <c r="A25" s="86">
        <f>Irrigated!A25</f>
        <v>3.23</v>
      </c>
      <c r="B25" s="87">
        <f>$A$25*B$23-$F$6</f>
        <v>-64.068684262499971</v>
      </c>
      <c r="C25" s="87">
        <f>$A$25*C$23-$F$6</f>
        <v>-32.576184262499964</v>
      </c>
      <c r="D25" s="87">
        <f>$A$25*D$23-$F$6</f>
        <v>-11.581184262499988</v>
      </c>
      <c r="E25" s="87">
        <f>$A$25*E$23-$F$6</f>
        <v>9.4138157375000162</v>
      </c>
      <c r="F25" s="87">
        <f>$A$25*F$23-$F$6</f>
        <v>40.906315737500023</v>
      </c>
      <c r="H25" s="91">
        <f>Irrigated!H25</f>
        <v>340</v>
      </c>
      <c r="I25" s="87">
        <f>$H$25*I$23/2000-$C$6</f>
        <v>-102.40442500000006</v>
      </c>
      <c r="J25" s="87">
        <f>$H$25*J$23/2000-$C$6</f>
        <v>-15.704425000000015</v>
      </c>
      <c r="K25" s="87">
        <f>$H$25*K$23/2000-$C$6</f>
        <v>42.09557499999994</v>
      </c>
      <c r="L25" s="87">
        <f>$H$25*L$23/2000-$C$6</f>
        <v>99.895575000000008</v>
      </c>
      <c r="M25" s="87">
        <f>$H$25*M$23/2000-$C$6</f>
        <v>186.59557499999994</v>
      </c>
    </row>
    <row r="26" spans="1:13" x14ac:dyDescent="0.2">
      <c r="A26" s="86">
        <f>Irrigated!A26</f>
        <v>3.8</v>
      </c>
      <c r="B26" s="87">
        <f>$A$26*B$23-$F$6</f>
        <v>-36.281184262499977</v>
      </c>
      <c r="C26" s="87">
        <f>$A$26*C$23-$F$6</f>
        <v>0.76881573750000598</v>
      </c>
      <c r="D26" s="87">
        <f>$A$26*D$23-$F$6</f>
        <v>25.468815737500023</v>
      </c>
      <c r="E26" s="87">
        <f>$A$26*E$23-$F$6</f>
        <v>50.168815737500012</v>
      </c>
      <c r="F26" s="87">
        <f>$A$26*F$23-$F$6</f>
        <v>87.218815737500023</v>
      </c>
      <c r="H26" s="91">
        <f>Irrigated!H26</f>
        <v>400</v>
      </c>
      <c r="I26" s="87">
        <f>$H$26*I$23/2000-$C$6</f>
        <v>-25.90442500000006</v>
      </c>
      <c r="J26" s="87">
        <f>$H$26*J$23/2000-$C$6</f>
        <v>76.09557499999994</v>
      </c>
      <c r="K26" s="87">
        <f>$H$26*K$23/2000-$C$6</f>
        <v>144.09557499999994</v>
      </c>
      <c r="L26" s="87">
        <f>$H$26*L$23/2000-$C$6</f>
        <v>212.09557500000005</v>
      </c>
      <c r="M26" s="87">
        <f>$H$26*M$23/2000-$C$6</f>
        <v>314.09557499999994</v>
      </c>
    </row>
    <row r="27" spans="1:13" x14ac:dyDescent="0.2">
      <c r="A27" s="86">
        <f>Irrigated!A27</f>
        <v>4.3699999999999992</v>
      </c>
      <c r="B27" s="87">
        <f>$A$27*B$23-$F$6</f>
        <v>-8.4936842625000111</v>
      </c>
      <c r="C27" s="87">
        <f>$A$27*C$23-$F$6</f>
        <v>34.113815737499976</v>
      </c>
      <c r="D27" s="87">
        <f>$A$27*D$23-$F$6</f>
        <v>62.518815737499978</v>
      </c>
      <c r="E27" s="87">
        <f>$A$27*E$23-$F$6</f>
        <v>90.92381573749995</v>
      </c>
      <c r="F27" s="87">
        <f>$A$27*F$23-$F$6</f>
        <v>133.53131573749997</v>
      </c>
      <c r="H27" s="91">
        <f>Irrigated!H27</f>
        <v>459.99999999999994</v>
      </c>
      <c r="I27" s="87">
        <f>$H$27*I$23/2000-$C$6</f>
        <v>50.595574999999826</v>
      </c>
      <c r="J27" s="87">
        <f>$H$27*J$23/2000-$C$6</f>
        <v>167.89557499999978</v>
      </c>
      <c r="K27" s="87">
        <f>$H$27*K$23/2000-$C$6</f>
        <v>246.09557499999983</v>
      </c>
      <c r="L27" s="87">
        <f>$H$27*L$23/2000-$C$6</f>
        <v>324.29557499999999</v>
      </c>
      <c r="M27" s="87">
        <f>$H$27*M$23/2000-$C$6</f>
        <v>441.59557499999983</v>
      </c>
    </row>
    <row r="28" spans="1:13" x14ac:dyDescent="0.2">
      <c r="A28" s="88">
        <f>Irrigated!A28</f>
        <v>4.9399999999999995</v>
      </c>
      <c r="B28" s="89">
        <f>$A$28*B$23-$F$6</f>
        <v>19.293815737500012</v>
      </c>
      <c r="C28" s="89">
        <f>$A$28*C$23-$F$6</f>
        <v>67.458815737499975</v>
      </c>
      <c r="D28" s="89">
        <f>$A$28*D$23-$F$6</f>
        <v>99.568815737499989</v>
      </c>
      <c r="E28" s="89">
        <f>$A$28*E$23-$F$6</f>
        <v>131.6788157375</v>
      </c>
      <c r="F28" s="89">
        <f>$A$28*F$23-$F$6</f>
        <v>179.84381573749997</v>
      </c>
      <c r="H28" s="92">
        <f>Irrigated!H28</f>
        <v>520</v>
      </c>
      <c r="I28" s="89">
        <f>$H$28*I$23/2000-$C$6</f>
        <v>127.09557499999994</v>
      </c>
      <c r="J28" s="89">
        <f>$H$28*J$23/2000-$C$6</f>
        <v>259.69557499999996</v>
      </c>
      <c r="K28" s="89">
        <f>$H$28*K$23/2000-$C$6</f>
        <v>348.09557499999994</v>
      </c>
      <c r="L28" s="89">
        <f>$H$28*L$23/2000-$C$6</f>
        <v>436.49557500000003</v>
      </c>
      <c r="M28" s="89">
        <f>$H$28*M$23/2000-$C$6</f>
        <v>569.09557499999994</v>
      </c>
    </row>
    <row r="30" spans="1:13" x14ac:dyDescent="0.2">
      <c r="A30" s="435" t="s">
        <v>53</v>
      </c>
      <c r="B30" s="435"/>
      <c r="C30" s="435"/>
      <c r="D30" s="435"/>
      <c r="E30" s="435"/>
      <c r="F30" s="435"/>
      <c r="H30" s="435" t="s">
        <v>63</v>
      </c>
      <c r="I30" s="435"/>
      <c r="J30" s="435"/>
      <c r="K30" s="435"/>
      <c r="L30" s="435"/>
      <c r="M30" s="435"/>
    </row>
    <row r="31" spans="1:13" s="62" customFormat="1" ht="12" x14ac:dyDescent="0.2">
      <c r="A31" s="434" t="s">
        <v>36</v>
      </c>
      <c r="B31" s="434"/>
      <c r="C31" s="434"/>
      <c r="D31" s="434"/>
      <c r="E31" s="434"/>
      <c r="F31" s="434"/>
      <c r="H31" s="434" t="s">
        <v>36</v>
      </c>
      <c r="I31" s="434"/>
      <c r="J31" s="434"/>
      <c r="K31" s="434"/>
      <c r="L31" s="434"/>
      <c r="M31" s="434"/>
    </row>
    <row r="32" spans="1:13" x14ac:dyDescent="0.2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2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6.8249999999999993</v>
      </c>
      <c r="B34" s="85">
        <f>$A$34*B$33-$E$6</f>
        <v>-57.366904350000056</v>
      </c>
      <c r="C34" s="85">
        <f>$A$34*C$33-$E$6</f>
        <v>-26.65440435000005</v>
      </c>
      <c r="D34" s="85">
        <f>$A$34*D$33-$E$6</f>
        <v>-6.1794043500000555</v>
      </c>
      <c r="E34" s="85">
        <f>$A$34*E$33-$E$6</f>
        <v>14.295595649999939</v>
      </c>
      <c r="F34" s="85">
        <f>$A$34*F$33-$E$6</f>
        <v>45.008095649999944</v>
      </c>
      <c r="H34" s="84">
        <f>Irrigated!H34</f>
        <v>3.6749999999999998</v>
      </c>
      <c r="I34" s="85">
        <f>$H$34*I$33-$G$6</f>
        <v>-46.62118557499997</v>
      </c>
      <c r="J34" s="85">
        <f>$H$34*J$33-$G$6</f>
        <v>-16.302435574999976</v>
      </c>
      <c r="K34" s="85">
        <f>$H$34*K$33-$G$6</f>
        <v>3.91006442500003</v>
      </c>
      <c r="L34" s="85">
        <f>$H$34*L$33-$G$6</f>
        <v>24.122564425000036</v>
      </c>
      <c r="M34" s="85">
        <f>$H$34*M$33-$G$6</f>
        <v>54.44131442500003</v>
      </c>
    </row>
    <row r="35" spans="1:13" x14ac:dyDescent="0.2">
      <c r="A35" s="86">
        <f>Irrigated!A35</f>
        <v>8.2874999999999996</v>
      </c>
      <c r="B35" s="87">
        <f>$A$35*B$33-$E$6</f>
        <v>-24.460654350000027</v>
      </c>
      <c r="C35" s="87">
        <f>$A$35*C$33-$E$6</f>
        <v>12.833095649999962</v>
      </c>
      <c r="D35" s="87">
        <f>$A$35*D$33-$E$6</f>
        <v>37.695595649999973</v>
      </c>
      <c r="E35" s="87">
        <f>$A$35*E$33-$E$6</f>
        <v>62.558095649999984</v>
      </c>
      <c r="F35" s="87">
        <f>$A$35*F$33-$E$6</f>
        <v>99.851845649999973</v>
      </c>
      <c r="H35" s="86">
        <f>Irrigated!H35</f>
        <v>4.4624999999999995</v>
      </c>
      <c r="I35" s="87">
        <f>$H$35*I$33-$G$6</f>
        <v>-14.136810574999998</v>
      </c>
      <c r="J35" s="87">
        <f>$H$35*J$33-$G$6</f>
        <v>22.678814425000013</v>
      </c>
      <c r="K35" s="87">
        <f>$H$35*K$33-$G$6</f>
        <v>47.222564425000002</v>
      </c>
      <c r="L35" s="87">
        <f>$H$35*L$33-$G$6</f>
        <v>71.766314425000019</v>
      </c>
      <c r="M35" s="87">
        <f>$H$35*M$33-$G$6</f>
        <v>108.58193942499997</v>
      </c>
    </row>
    <row r="36" spans="1:13" x14ac:dyDescent="0.2">
      <c r="A36" s="86">
        <f>Irrigated!A36</f>
        <v>9.75</v>
      </c>
      <c r="B36" s="87">
        <f>$A$36*B$33-$E$6</f>
        <v>8.4455956499999729</v>
      </c>
      <c r="C36" s="87">
        <f>$A$36*C$33-$E$6</f>
        <v>52.320595649999973</v>
      </c>
      <c r="D36" s="87">
        <f>$A$36*D$33-$E$6</f>
        <v>81.570595649999973</v>
      </c>
      <c r="E36" s="87">
        <f>$A$36*E$33-$E$6</f>
        <v>110.82059564999997</v>
      </c>
      <c r="F36" s="87">
        <f>$A$36*F$33-$E$6</f>
        <v>154.69559564999997</v>
      </c>
      <c r="H36" s="86">
        <f>Irrigated!H36</f>
        <v>5.25</v>
      </c>
      <c r="I36" s="87">
        <f>$H$36*I$33-$G$6</f>
        <v>18.34756442500003</v>
      </c>
      <c r="J36" s="87">
        <f>$H$36*J$33-$G$6</f>
        <v>61.66006442500003</v>
      </c>
      <c r="K36" s="87">
        <f>$H$36*K$33-$G$6</f>
        <v>90.53506442500003</v>
      </c>
      <c r="L36" s="87">
        <f>$H$36*L$33-$G$6</f>
        <v>119.41006442500009</v>
      </c>
      <c r="M36" s="87">
        <f>$H$36*M$33-$G$6</f>
        <v>162.72256442500003</v>
      </c>
    </row>
    <row r="37" spans="1:13" x14ac:dyDescent="0.2">
      <c r="A37" s="86">
        <f>Irrigated!A37</f>
        <v>11.212499999999999</v>
      </c>
      <c r="B37" s="87">
        <f>$A$37*B$33-$E$6</f>
        <v>41.351845649999944</v>
      </c>
      <c r="C37" s="87">
        <f>$A$37*C$33-$E$6</f>
        <v>91.808095649999927</v>
      </c>
      <c r="D37" s="87">
        <f>$A$37*D$33-$E$6</f>
        <v>125.44559564999992</v>
      </c>
      <c r="E37" s="87">
        <f>$A$37*E$33-$E$6</f>
        <v>159.0830956499999</v>
      </c>
      <c r="F37" s="87">
        <f>$A$37*F$33-$E$6</f>
        <v>209.53934564999992</v>
      </c>
      <c r="H37" s="86">
        <f>Irrigated!H37</f>
        <v>6.0374999999999996</v>
      </c>
      <c r="I37" s="87">
        <f>$H$37*I$33-$G$6</f>
        <v>50.831939425000002</v>
      </c>
      <c r="J37" s="87">
        <f>$H$37*J$33-$G$6</f>
        <v>100.64131442500002</v>
      </c>
      <c r="K37" s="87">
        <f>$H$37*K$33-$G$6</f>
        <v>133.84756442500003</v>
      </c>
      <c r="L37" s="87">
        <f>$H$37*L$33-$G$6</f>
        <v>167.05381442500004</v>
      </c>
      <c r="M37" s="87">
        <f>$H$37*M$33-$G$6</f>
        <v>216.86318942500003</v>
      </c>
    </row>
    <row r="38" spans="1:13" x14ac:dyDescent="0.2">
      <c r="A38" s="88">
        <f>Irrigated!A38</f>
        <v>12.675000000000001</v>
      </c>
      <c r="B38" s="89">
        <f>$A$38*B$33-$E$6</f>
        <v>74.258095649999973</v>
      </c>
      <c r="C38" s="89">
        <f>$A$38*C$33-$E$6</f>
        <v>131.29559565</v>
      </c>
      <c r="D38" s="89">
        <f>$A$38*D$33-$E$6</f>
        <v>169.32059564999997</v>
      </c>
      <c r="E38" s="89">
        <f>$A$38*E$33-$E$6</f>
        <v>207.34559565000001</v>
      </c>
      <c r="F38" s="89">
        <f>$A$38*F$33-$E$6</f>
        <v>264.38309564999997</v>
      </c>
      <c r="H38" s="88">
        <f>Irrigated!H38</f>
        <v>6.8250000000000002</v>
      </c>
      <c r="I38" s="89">
        <f>$H$38*I$33-$G$6</f>
        <v>83.31631442500003</v>
      </c>
      <c r="J38" s="89">
        <f>$H$38*J$33-$G$6</f>
        <v>139.62256442500006</v>
      </c>
      <c r="K38" s="89">
        <f>$H$38*K$33-$G$6</f>
        <v>177.16006442500003</v>
      </c>
      <c r="L38" s="89">
        <f>$H$38*L$33-$G$6</f>
        <v>214.69756442500011</v>
      </c>
      <c r="M38" s="89">
        <f>$H$38*M$33-$G$6</f>
        <v>271.00381442500003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ignoredErrors>
    <ignoredError sqref="A29:F29 A19:F19 A57:F57 A47:F4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Conventional</vt:lpstr>
      <vt:lpstr>Strip-Till</vt:lpstr>
      <vt:lpstr>Prices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R. Smith</cp:lastModifiedBy>
  <cp:lastPrinted>2015-01-08T20:24:47Z</cp:lastPrinted>
  <dcterms:created xsi:type="dcterms:W3CDTF">2007-11-26T00:37:18Z</dcterms:created>
  <dcterms:modified xsi:type="dcterms:W3CDTF">2015-01-20T19:42:33Z</dcterms:modified>
</cp:coreProperties>
</file>