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05" windowWidth="14970" windowHeight="6360" activeTab="0"/>
  </bookViews>
  <sheets>
    <sheet name="2015-CV-IR" sheetId="1" r:id="rId1"/>
  </sheets>
  <definedNames>
    <definedName name="_xlnm.Print_Area" localSheetId="0">'2015-CV-IR'!$A$1:$Y$80</definedName>
    <definedName name="Production">'2015-CV-IR'!$AH$4:$AH$5</definedName>
    <definedName name="row">'2015-CV-IR'!$AI$4:$AI$6</definedName>
    <definedName name="Technology">'2015-CV-IR'!$AF$5:$AF$8</definedName>
    <definedName name="Tillage">'2015-CV-IR'!$AG$4:$AG$6</definedName>
  </definedNames>
  <calcPr fullCalcOnLoad="1"/>
</workbook>
</file>

<file path=xl/sharedStrings.xml><?xml version="1.0" encoding="utf-8"?>
<sst xmlns="http://schemas.openxmlformats.org/spreadsheetml/2006/main" count="198" uniqueCount="147">
  <si>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</si>
  <si>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</si>
  <si>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</si>
  <si>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</si>
  <si>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</si>
  <si>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</si>
  <si>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</si>
  <si>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</si>
  <si>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</si>
  <si>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</si>
  <si>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</si>
  <si>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</si>
  <si>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</si>
  <si>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</si>
  <si>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</si>
  <si>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</si>
  <si>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</si>
  <si>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</si>
  <si>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</si>
  <si>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</si>
  <si>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</si>
  <si>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</si>
  <si>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</si>
  <si>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</si>
  <si>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</si>
  <si>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</si>
  <si>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</si>
  <si>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</si>
  <si>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</si>
  <si>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</si>
  <si>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</si>
  <si>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</si>
  <si>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</si>
  <si>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Irrigation</t>
  </si>
  <si>
    <t>Equipment/Implements</t>
  </si>
  <si>
    <t>Production:</t>
  </si>
  <si>
    <t>Conventional</t>
  </si>
  <si>
    <t>Tillage:</t>
  </si>
  <si>
    <t>Seed Technology:</t>
  </si>
  <si>
    <t>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</si>
  <si>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</si>
  <si>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</si>
  <si>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</si>
  <si>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</si>
  <si>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</si>
  <si>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</si>
  <si>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</si>
  <si>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</si>
  <si>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</si>
  <si>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</si>
  <si>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</si>
  <si>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</si>
  <si>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</si>
  <si>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</si>
  <si>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</si>
  <si>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</si>
  <si>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</si>
  <si>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</si>
  <si>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</si>
  <si>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</si>
  <si>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</si>
  <si>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</si>
  <si>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</si>
  <si>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</si>
  <si>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</si>
  <si>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</si>
  <si>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</si>
  <si>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</si>
  <si>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</si>
  <si>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</si>
  <si>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</si>
  <si>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</si>
  <si>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</si>
  <si>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</si>
  <si>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</si>
  <si>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</si>
  <si>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</si>
  <si>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</si>
  <si>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</si>
  <si>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</si>
  <si>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</si>
  <si>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</si>
  <si>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>Rip and bed- 8-row</t>
  </si>
  <si>
    <t>Disk- 30ft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</si>
  <si>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</si>
  <si>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</si>
  <si>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</si>
  <si>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</si>
  <si>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</si>
  <si>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</si>
  <si>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100 HP</t>
  </si>
  <si>
    <t>Spray 60 ft- pgr</t>
  </si>
  <si>
    <t>Spray 60 ft- defoliate</t>
  </si>
  <si>
    <t xml:space="preserve">   Pre-Plant Broadcast or PPI</t>
  </si>
  <si>
    <t>Developed by Don Shurley and Amanda Smith, Department of Agricultural and Applied Economics, University of Georgia.</t>
  </si>
  <si>
    <t>Department of Agricultural and Applied Economics, University of Georgia.</t>
  </si>
  <si>
    <t>Developed by Don Shurley and Amanda Smith</t>
  </si>
  <si>
    <t xml:space="preserve">Special thanks to County Extension Agents, UGA Cotton Team, and industry representatives for providing data, input, and review/suggestions. </t>
  </si>
  <si>
    <t>This Crop</t>
  </si>
  <si>
    <t>COTTON- Conventional Tillage, Irrigated</t>
  </si>
  <si>
    <t>ACKNOWLEDGEMENT</t>
  </si>
  <si>
    <t>EXPECTED INCOME</t>
  </si>
  <si>
    <t>Fixed</t>
  </si>
  <si>
    <t>Int</t>
  </si>
  <si>
    <t>NGW</t>
  </si>
  <si>
    <t>Stalk puller/chopper- 6 row</t>
  </si>
  <si>
    <t>Plant- 8 row w/PRE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</si>
  <si>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</si>
  <si>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</si>
  <si>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</si>
  <si>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</si>
  <si>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</si>
  <si>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</si>
  <si>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</si>
  <si>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</si>
  <si>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</si>
  <si>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</si>
  <si>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</si>
  <si>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</si>
  <si>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</si>
  <si>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</si>
  <si>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Seed Treatments</t>
  </si>
  <si>
    <t>1,000 seed</t>
  </si>
  <si>
    <t>Crop Insurance (Including STAX)</t>
  </si>
  <si>
    <t>Seed (Including Technology Fees)</t>
  </si>
  <si>
    <t xml:space="preserve">   At Planting or PRE</t>
  </si>
  <si>
    <t xml:space="preserve">   POST</t>
  </si>
  <si>
    <t xml:space="preserve">   Layby</t>
  </si>
  <si>
    <t>B2RF or WRF or GLB2 or LLB2</t>
  </si>
  <si>
    <t xml:space="preserve">   In-Furrow (If no seed treatment used)</t>
  </si>
  <si>
    <t>Nematicide (If no seed treatment used)</t>
  </si>
  <si>
    <t>Fungicide (If no seed treatment used)</t>
  </si>
  <si>
    <t>225 HP</t>
  </si>
  <si>
    <t>185 HP</t>
  </si>
  <si>
    <t>Picker- 6 row</t>
  </si>
  <si>
    <t xml:space="preserve">Spray 60 ft- preplant 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</si>
  <si>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</si>
  <si>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</si>
  <si>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</si>
  <si>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</si>
  <si>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</si>
  <si>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</si>
  <si>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</si>
  <si>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>2016 ESTIMATED PER ACRE COSTS AND RETURNS, SOUTH AND EAST GEORGIA</t>
  </si>
  <si>
    <t>February 2016</t>
  </si>
  <si>
    <t>Avg Price**</t>
  </si>
  <si>
    <t>** Expected average price includes LDP/MLG if applicable, and adjustments for fiber quality.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</si>
</sst>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F"/>
        <bgColor indexed="64"/>
      </patternFill>
    </fill>
    <fill>
      <patternFill patternType="solid">
        <fgColor rgb="FFDCE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15" fillId="33" borderId="0" xfId="0" applyFont="1" applyFill="1" applyBorder="1" applyAlignment="1" applyProtection="1" quotePrefix="1">
      <alignment horizontal="right"/>
      <protection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9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2" fontId="60" fillId="0" borderId="0" xfId="0" applyNumberFormat="1" applyFont="1" applyAlignment="1" applyProtection="1">
      <alignment/>
      <protection/>
    </xf>
    <xf numFmtId="166" fontId="59" fillId="33" borderId="0" xfId="0" applyNumberFormat="1" applyFont="1" applyFill="1" applyAlignment="1" applyProtection="1">
      <alignment/>
      <protection/>
    </xf>
    <xf numFmtId="2" fontId="59" fillId="35" borderId="0" xfId="0" applyNumberFormat="1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/>
      <protection locked="0"/>
    </xf>
    <xf numFmtId="188" fontId="12" fillId="35" borderId="10" xfId="44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164" fontId="10" fillId="35" borderId="10" xfId="0" applyNumberFormat="1" applyFont="1" applyFill="1" applyBorder="1" applyAlignment="1" applyProtection="1">
      <alignment/>
      <protection locked="0"/>
    </xf>
    <xf numFmtId="2" fontId="10" fillId="35" borderId="10" xfId="0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1" fontId="10" fillId="35" borderId="10" xfId="0" applyNumberFormat="1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 horizontal="left"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2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right" vertical="center"/>
      <protection locked="0"/>
    </xf>
    <xf numFmtId="165" fontId="5" fillId="35" borderId="10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 horizontal="right" vertical="center"/>
      <protection locked="0"/>
    </xf>
    <xf numFmtId="10" fontId="5" fillId="35" borderId="10" xfId="59" applyNumberFormat="1" applyFont="1" applyFill="1" applyBorder="1" applyAlignment="1" applyProtection="1">
      <alignment horizontal="right" vertical="center"/>
      <protection locked="0"/>
    </xf>
    <xf numFmtId="9" fontId="5" fillId="35" borderId="10" xfId="59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181" fontId="5" fillId="35" borderId="10" xfId="59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 horizontal="right" vertical="center"/>
      <protection/>
    </xf>
    <xf numFmtId="1" fontId="10" fillId="35" borderId="10" xfId="0" applyNumberFormat="1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6" fillId="37" borderId="15" xfId="0" applyFont="1" applyFill="1" applyBorder="1" applyAlignment="1" applyProtection="1">
      <alignment horizontal="right" vertical="center"/>
      <protection/>
    </xf>
    <xf numFmtId="0" fontId="0" fillId="37" borderId="13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4" fillId="37" borderId="13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5" fillId="37" borderId="15" xfId="0" applyFont="1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6" fillId="37" borderId="15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3" fontId="6" fillId="37" borderId="16" xfId="42" applyNumberFormat="1" applyFont="1" applyFill="1" applyBorder="1" applyAlignment="1" applyProtection="1">
      <alignment horizontal="right" vertical="center"/>
      <protection/>
    </xf>
    <xf numFmtId="0" fontId="0" fillId="37" borderId="17" xfId="0" applyFill="1" applyBorder="1" applyAlignment="1" applyProtection="1">
      <alignment/>
      <protection/>
    </xf>
    <xf numFmtId="0" fontId="6" fillId="37" borderId="17" xfId="0" applyFont="1" applyFill="1" applyBorder="1" applyAlignment="1" applyProtection="1">
      <alignment horizontal="right" vertical="center"/>
      <protection/>
    </xf>
    <xf numFmtId="2" fontId="6" fillId="37" borderId="17" xfId="0" applyNumberFormat="1" applyFont="1" applyFill="1" applyBorder="1" applyAlignment="1" applyProtection="1">
      <alignment horizontal="right" vertical="center"/>
      <protection/>
    </xf>
    <xf numFmtId="0" fontId="6" fillId="37" borderId="16" xfId="0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3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>
      <alignment/>
      <protection/>
    </xf>
    <xf numFmtId="164" fontId="5" fillId="37" borderId="0" xfId="0" applyNumberFormat="1" applyFont="1" applyFill="1" applyBorder="1" applyAlignment="1" applyProtection="1">
      <alignment horizontal="right" vertical="center"/>
      <protection/>
    </xf>
    <xf numFmtId="170" fontId="5" fillId="37" borderId="0" xfId="42" applyNumberFormat="1" applyFont="1" applyFill="1" applyBorder="1" applyAlignment="1" applyProtection="1">
      <alignment horizontal="right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7" xfId="0" applyNumberFormat="1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7" xfId="0" applyNumberFormat="1" applyFont="1" applyFill="1" applyBorder="1" applyAlignment="1" applyProtection="1">
      <alignment horizontal="right" vertical="center"/>
      <protection/>
    </xf>
    <xf numFmtId="2" fontId="5" fillId="37" borderId="18" xfId="0" applyNumberFormat="1" applyFont="1" applyFill="1" applyBorder="1" applyAlignment="1" applyProtection="1">
      <alignment horizontal="right" vertical="center"/>
      <protection locked="0"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17" xfId="0" applyNumberFormat="1" applyFont="1" applyFill="1" applyBorder="1" applyAlignment="1" applyProtection="1">
      <alignment/>
      <protection/>
    </xf>
    <xf numFmtId="2" fontId="5" fillId="37" borderId="15" xfId="0" applyNumberFormat="1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168" fontId="6" fillId="37" borderId="18" xfId="0" applyNumberFormat="1" applyFont="1" applyFill="1" applyBorder="1" applyAlignment="1" applyProtection="1">
      <alignment horizontal="right" vertical="center"/>
      <protection/>
    </xf>
    <xf numFmtId="4" fontId="6" fillId="37" borderId="12" xfId="0" applyNumberFormat="1" applyFont="1" applyFill="1" applyBorder="1" applyAlignment="1" applyProtection="1">
      <alignment horizontal="right" vertical="center"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6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/>
      <protection/>
    </xf>
    <xf numFmtId="0" fontId="6" fillId="37" borderId="18" xfId="0" applyFont="1" applyFill="1" applyBorder="1" applyAlignment="1" applyProtection="1">
      <alignment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/>
      <protection/>
    </xf>
    <xf numFmtId="0" fontId="5" fillId="37" borderId="15" xfId="0" applyFont="1" applyFill="1" applyBorder="1" applyAlignment="1" applyProtection="1">
      <alignment horizontal="right" vertical="center"/>
      <protection/>
    </xf>
    <xf numFmtId="0" fontId="5" fillId="37" borderId="18" xfId="0" applyFont="1" applyFill="1" applyBorder="1" applyAlignment="1" applyProtection="1">
      <alignment horizontal="right" vertical="center"/>
      <protection/>
    </xf>
    <xf numFmtId="0" fontId="6" fillId="37" borderId="18" xfId="0" applyFont="1" applyFill="1" applyBorder="1" applyAlignment="1" applyProtection="1">
      <alignment horizontal="right" vertical="center"/>
      <protection/>
    </xf>
    <xf numFmtId="2" fontId="6" fillId="37" borderId="12" xfId="0" applyNumberFormat="1" applyFont="1" applyFill="1" applyBorder="1" applyAlignment="1" applyProtection="1">
      <alignment horizontal="right" vertical="center"/>
      <protection/>
    </xf>
    <xf numFmtId="0" fontId="5" fillId="37" borderId="13" xfId="0" applyFont="1" applyFill="1" applyBorder="1" applyAlignment="1" applyProtection="1">
      <alignment/>
      <protection/>
    </xf>
    <xf numFmtId="168" fontId="5" fillId="37" borderId="15" xfId="0" applyNumberFormat="1" applyFont="1" applyFill="1" applyBorder="1" applyAlignment="1" applyProtection="1">
      <alignment horizontal="righ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0" fillId="37" borderId="13" xfId="0" applyFill="1" applyBorder="1" applyAlignment="1">
      <alignment/>
    </xf>
    <xf numFmtId="0" fontId="15" fillId="38" borderId="13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/>
      <protection/>
    </xf>
    <xf numFmtId="16" fontId="15" fillId="38" borderId="14" xfId="0" applyNumberFormat="1" applyFont="1" applyFill="1" applyBorder="1" applyAlignment="1" applyProtection="1" quotePrefix="1">
      <alignment horizontal="left" vertical="center"/>
      <protection/>
    </xf>
    <xf numFmtId="0" fontId="0" fillId="37" borderId="15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7" xfId="0" applyFont="1" applyFill="1" applyBorder="1" applyAlignment="1" applyProtection="1">
      <alignment/>
      <protection/>
    </xf>
    <xf numFmtId="0" fontId="0" fillId="37" borderId="17" xfId="0" applyFill="1" applyBorder="1" applyAlignment="1">
      <alignment/>
    </xf>
    <xf numFmtId="0" fontId="0" fillId="37" borderId="16" xfId="0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 horizontal="left" vertical="center"/>
      <protection/>
    </xf>
    <xf numFmtId="0" fontId="0" fillId="37" borderId="10" xfId="0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8" xfId="0" applyFont="1" applyFill="1" applyBorder="1" applyAlignment="1" applyProtection="1">
      <alignment/>
      <protection/>
    </xf>
    <xf numFmtId="0" fontId="0" fillId="37" borderId="19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1" fillId="37" borderId="16" xfId="0" applyFont="1" applyFill="1" applyBorder="1" applyAlignment="1" applyProtection="1">
      <alignment horizontal="right"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21" xfId="0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1" fontId="0" fillId="37" borderId="18" xfId="0" applyNumberFormat="1" applyFont="1" applyFill="1" applyBorder="1" applyAlignment="1" applyProtection="1">
      <alignment/>
      <protection/>
    </xf>
    <xf numFmtId="2" fontId="0" fillId="37" borderId="12" xfId="0" applyNumberFormat="1" applyFont="1" applyFill="1" applyBorder="1" applyAlignment="1" applyProtection="1">
      <alignment/>
      <protection/>
    </xf>
    <xf numFmtId="2" fontId="0" fillId="37" borderId="16" xfId="0" applyNumberFormat="1" applyFont="1" applyFill="1" applyBorder="1" applyAlignment="1" applyProtection="1">
      <alignment/>
      <protection/>
    </xf>
    <xf numFmtId="1" fontId="1" fillId="37" borderId="18" xfId="0" applyNumberFormat="1" applyFont="1" applyFill="1" applyBorder="1" applyAlignment="1" applyProtection="1">
      <alignment/>
      <protection/>
    </xf>
    <xf numFmtId="2" fontId="1" fillId="37" borderId="12" xfId="0" applyNumberFormat="1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/>
      <protection/>
    </xf>
    <xf numFmtId="165" fontId="0" fillId="37" borderId="18" xfId="0" applyNumberFormat="1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/>
      <protection/>
    </xf>
    <xf numFmtId="2" fontId="1" fillId="37" borderId="18" xfId="0" applyNumberFormat="1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164" fontId="0" fillId="37" borderId="15" xfId="0" applyNumberFormat="1" applyFont="1" applyFill="1" applyBorder="1" applyAlignment="1" applyProtection="1">
      <alignment/>
      <protection/>
    </xf>
    <xf numFmtId="164" fontId="1" fillId="37" borderId="18" xfId="0" applyNumberFormat="1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7" borderId="18" xfId="0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/>
      <protection/>
    </xf>
    <xf numFmtId="0" fontId="11" fillId="37" borderId="14" xfId="0" applyFont="1" applyFill="1" applyBorder="1" applyAlignment="1" applyProtection="1">
      <alignment/>
      <protection/>
    </xf>
    <xf numFmtId="0" fontId="10" fillId="37" borderId="15" xfId="0" applyFont="1" applyFill="1" applyBorder="1" applyAlignment="1" applyProtection="1">
      <alignment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18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right"/>
      <protection/>
    </xf>
    <xf numFmtId="0" fontId="11" fillId="37" borderId="15" xfId="0" applyFont="1" applyFill="1" applyBorder="1" applyAlignment="1" applyProtection="1">
      <alignment horizontal="right"/>
      <protection/>
    </xf>
    <xf numFmtId="0" fontId="13" fillId="37" borderId="18" xfId="0" applyFont="1" applyFill="1" applyBorder="1" applyAlignment="1" applyProtection="1">
      <alignment/>
      <protection/>
    </xf>
    <xf numFmtId="0" fontId="13" fillId="37" borderId="12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0" fontId="10" fillId="37" borderId="12" xfId="0" applyFont="1" applyFill="1" applyBorder="1" applyAlignment="1" applyProtection="1">
      <alignment/>
      <protection/>
    </xf>
    <xf numFmtId="1" fontId="10" fillId="37" borderId="10" xfId="0" applyNumberFormat="1" applyFont="1" applyFill="1" applyBorder="1" applyAlignment="1" applyProtection="1">
      <alignment horizontal="right"/>
      <protection/>
    </xf>
    <xf numFmtId="2" fontId="10" fillId="37" borderId="10" xfId="0" applyNumberFormat="1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" fontId="10" fillId="37" borderId="18" xfId="0" applyNumberFormat="1" applyFont="1" applyFill="1" applyBorder="1" applyAlignment="1" applyProtection="1">
      <alignment horizontal="right"/>
      <protection/>
    </xf>
    <xf numFmtId="2" fontId="10" fillId="37" borderId="18" xfId="0" applyNumberFormat="1" applyFont="1" applyFill="1" applyBorder="1" applyAlignment="1" applyProtection="1">
      <alignment/>
      <protection/>
    </xf>
    <xf numFmtId="165" fontId="10" fillId="37" borderId="18" xfId="0" applyNumberFormat="1" applyFont="1" applyFill="1" applyBorder="1" applyAlignment="1" applyProtection="1">
      <alignment/>
      <protection/>
    </xf>
    <xf numFmtId="164" fontId="10" fillId="37" borderId="18" xfId="0" applyNumberFormat="1" applyFont="1" applyFill="1" applyBorder="1" applyAlignment="1" applyProtection="1">
      <alignment/>
      <protection/>
    </xf>
    <xf numFmtId="2" fontId="10" fillId="37" borderId="12" xfId="0" applyNumberFormat="1" applyFont="1" applyFill="1" applyBorder="1" applyAlignment="1" applyProtection="1">
      <alignment/>
      <protection/>
    </xf>
    <xf numFmtId="1" fontId="11" fillId="37" borderId="18" xfId="0" applyNumberFormat="1" applyFont="1" applyFill="1" applyBorder="1" applyAlignment="1" applyProtection="1">
      <alignment/>
      <protection/>
    </xf>
    <xf numFmtId="2" fontId="11" fillId="37" borderId="18" xfId="0" applyNumberFormat="1" applyFont="1" applyFill="1" applyBorder="1" applyAlignment="1" applyProtection="1">
      <alignment/>
      <protection/>
    </xf>
    <xf numFmtId="165" fontId="11" fillId="37" borderId="18" xfId="0" applyNumberFormat="1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2" fontId="11" fillId="37" borderId="12" xfId="0" applyNumberFormat="1" applyFont="1" applyFill="1" applyBorder="1" applyAlignment="1" applyProtection="1">
      <alignment/>
      <protection/>
    </xf>
    <xf numFmtId="1" fontId="10" fillId="37" borderId="10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" fontId="10" fillId="37" borderId="18" xfId="0" applyNumberFormat="1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8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9" fillId="37" borderId="20" xfId="0" applyFont="1" applyFill="1" applyBorder="1" applyAlignment="1" applyProtection="1">
      <alignment horizontal="center" vertical="center"/>
      <protection/>
    </xf>
    <xf numFmtId="0" fontId="19" fillId="37" borderId="21" xfId="0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horizontal="left" vertical="center"/>
      <protection/>
    </xf>
    <xf numFmtId="0" fontId="19" fillId="37" borderId="14" xfId="0" applyFont="1" applyFill="1" applyBorder="1" applyAlignment="1" applyProtection="1">
      <alignment horizontal="center" vertical="center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left"/>
      <protection locked="0"/>
    </xf>
    <xf numFmtId="0" fontId="10" fillId="35" borderId="11" xfId="0" applyFont="1" applyFill="1" applyBorder="1" applyAlignment="1" applyProtection="1">
      <alignment horizontal="left"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165" fontId="1" fillId="37" borderId="10" xfId="0" applyNumberFormat="1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67</xdr:row>
      <xdr:rowOff>19050</xdr:rowOff>
    </xdr:from>
    <xdr:to>
      <xdr:col>7</xdr:col>
      <xdr:colOff>942975</xdr:colOff>
      <xdr:row>69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6300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61</xdr:row>
      <xdr:rowOff>0</xdr:rowOff>
    </xdr:from>
    <xdr:to>
      <xdr:col>17</xdr:col>
      <xdr:colOff>381000</xdr:colOff>
      <xdr:row>63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5822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28" t="s">
        <v>99</v>
      </c>
      <c r="B1" s="229"/>
      <c r="C1" s="229"/>
      <c r="D1" s="229"/>
      <c r="E1" s="229"/>
      <c r="F1" s="229"/>
      <c r="G1" s="229"/>
      <c r="H1" s="230"/>
      <c r="I1" s="49"/>
      <c r="J1" s="239" t="s">
        <v>99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1"/>
      <c r="Z1" s="12"/>
      <c r="AA1" s="12"/>
      <c r="AB1" s="12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32" t="s">
        <v>143</v>
      </c>
      <c r="B2" s="233"/>
      <c r="C2" s="233"/>
      <c r="D2" s="233"/>
      <c r="E2" s="233"/>
      <c r="F2" s="233"/>
      <c r="G2" s="233"/>
      <c r="H2" s="234"/>
      <c r="I2" s="49"/>
      <c r="J2" s="242" t="s">
        <v>143</v>
      </c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4"/>
      <c r="Z2" s="12"/>
      <c r="AA2" s="13"/>
      <c r="AB2" s="13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92" t="s">
        <v>38</v>
      </c>
      <c r="B3" s="93" t="s">
        <v>128</v>
      </c>
      <c r="C3" s="94"/>
      <c r="D3" s="93"/>
      <c r="E3" s="99"/>
      <c r="F3" s="93" t="s">
        <v>43</v>
      </c>
      <c r="G3" s="102"/>
      <c r="H3" s="81">
        <v>36</v>
      </c>
      <c r="I3" s="3"/>
      <c r="J3" s="3"/>
      <c r="K3" s="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"/>
      <c r="AA3" s="13"/>
      <c r="AB3" s="13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92" t="s">
        <v>37</v>
      </c>
      <c r="B4" s="93" t="s">
        <v>36</v>
      </c>
      <c r="C4" s="93"/>
      <c r="D4" s="95"/>
      <c r="E4" s="99"/>
      <c r="F4" s="93" t="s">
        <v>44</v>
      </c>
      <c r="G4" s="102"/>
      <c r="H4" s="82">
        <v>2.5</v>
      </c>
      <c r="I4" s="3"/>
      <c r="J4" s="51"/>
      <c r="K4" s="51"/>
      <c r="L4" s="245" t="s">
        <v>138</v>
      </c>
      <c r="M4" s="245"/>
      <c r="N4" s="245"/>
      <c r="O4" s="245"/>
      <c r="P4" s="245"/>
      <c r="Q4" s="245"/>
      <c r="R4" s="245"/>
      <c r="S4" s="245"/>
      <c r="T4" s="245"/>
      <c r="U4" s="245"/>
      <c r="V4" s="43"/>
      <c r="W4" s="43"/>
      <c r="X4" s="43"/>
      <c r="Y4" s="43"/>
      <c r="Z4" s="12"/>
      <c r="AA4" s="13"/>
      <c r="AB4" s="13"/>
      <c r="AC4" s="6"/>
      <c r="AD4" s="6"/>
      <c r="AE4" s="7"/>
      <c r="AF4" s="25"/>
      <c r="AG4" s="10"/>
      <c r="AH4" s="7"/>
      <c r="AI4" s="7"/>
      <c r="AJ4" s="29"/>
      <c r="AK4" s="9"/>
      <c r="AL4" s="9"/>
    </row>
    <row r="5" spans="1:38" ht="13.5" customHeight="1">
      <c r="A5" s="96" t="s">
        <v>35</v>
      </c>
      <c r="B5" s="231" t="s">
        <v>39</v>
      </c>
      <c r="C5" s="231"/>
      <c r="D5" s="97"/>
      <c r="E5" s="104"/>
      <c r="F5" s="105" t="s">
        <v>120</v>
      </c>
      <c r="G5" s="105"/>
      <c r="H5" s="107">
        <f>208.71*$H$4*(208.71/($H$3/12))</f>
        <v>36299.886750000005</v>
      </c>
      <c r="I5" s="3"/>
      <c r="J5" s="47" t="s">
        <v>102</v>
      </c>
      <c r="K5" s="60">
        <f>SUM(G12:G43)</f>
        <v>492.94949075429236</v>
      </c>
      <c r="L5" s="152"/>
      <c r="M5" s="238">
        <f>+P5-0.05</f>
        <v>0.6499999999999999</v>
      </c>
      <c r="N5" s="238"/>
      <c r="O5" s="238"/>
      <c r="P5" s="238">
        <f>+F8</f>
        <v>0.7</v>
      </c>
      <c r="Q5" s="238"/>
      <c r="R5" s="238"/>
      <c r="S5" s="238">
        <f>+P5+0.05</f>
        <v>0.75</v>
      </c>
      <c r="T5" s="238"/>
      <c r="U5" s="238"/>
      <c r="V5" s="3"/>
      <c r="W5" s="3"/>
      <c r="X5" s="3"/>
      <c r="Y5" s="3"/>
      <c r="Z5" s="12"/>
      <c r="AA5" s="13"/>
      <c r="AB5" s="13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98"/>
      <c r="B6" s="99"/>
      <c r="C6" s="99"/>
      <c r="D6" s="99"/>
      <c r="E6" s="99"/>
      <c r="F6" s="99"/>
      <c r="G6" s="99"/>
      <c r="H6" s="108"/>
      <c r="I6" s="3"/>
      <c r="J6" s="58"/>
      <c r="K6" s="61">
        <f>SUM(H46:H51)</f>
        <v>-0.7263888888888885</v>
      </c>
      <c r="L6" s="153" t="s">
        <v>119</v>
      </c>
      <c r="M6" s="154">
        <f>+P6</f>
        <v>1100</v>
      </c>
      <c r="N6" s="154">
        <f>+Q6</f>
        <v>1200</v>
      </c>
      <c r="O6" s="154">
        <f>+R6</f>
        <v>1300</v>
      </c>
      <c r="P6" s="154">
        <f>+Q6-100</f>
        <v>1100</v>
      </c>
      <c r="Q6" s="154">
        <f>+E8</f>
        <v>1200</v>
      </c>
      <c r="R6" s="154">
        <f>+Q6+100</f>
        <v>1300</v>
      </c>
      <c r="S6" s="154">
        <f>+P6</f>
        <v>1100</v>
      </c>
      <c r="T6" s="154">
        <f>+Q6</f>
        <v>1200</v>
      </c>
      <c r="U6" s="154">
        <f>+R6</f>
        <v>1300</v>
      </c>
      <c r="V6" s="3"/>
      <c r="W6" s="3"/>
      <c r="X6" s="3"/>
      <c r="Y6" s="3"/>
      <c r="Z6" s="12"/>
      <c r="AA6" s="13"/>
      <c r="AB6" s="13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100"/>
      <c r="B7" s="101"/>
      <c r="C7" s="101"/>
      <c r="D7" s="102"/>
      <c r="E7" s="106" t="s">
        <v>40</v>
      </c>
      <c r="F7" s="106" t="s">
        <v>145</v>
      </c>
      <c r="G7" s="106" t="s">
        <v>41</v>
      </c>
      <c r="H7" s="109" t="s">
        <v>46</v>
      </c>
      <c r="I7" s="3"/>
      <c r="J7" s="47" t="s">
        <v>103</v>
      </c>
      <c r="K7" s="62">
        <f>+($K$5+L7)*(1+$F$44/12*$C$44)</f>
        <v>663.8453492038068</v>
      </c>
      <c r="L7" s="66">
        <v>150</v>
      </c>
      <c r="M7" s="155">
        <f>+$M$5*$M$6-K7-$M$12</f>
        <v>59.14492857397087</v>
      </c>
      <c r="N7" s="155">
        <f>+M5*N6-K7-N12</f>
        <v>124.87131746285976</v>
      </c>
      <c r="O7" s="155">
        <f>+M5*O6-K7-O12</f>
        <v>190.59770635174866</v>
      </c>
      <c r="P7" s="155">
        <f>+P5*P6-K7-P12</f>
        <v>114.14492857397099</v>
      </c>
      <c r="Q7" s="155">
        <f>+P5*Q6-K7-Q12</f>
        <v>184.87131746285988</v>
      </c>
      <c r="R7" s="155">
        <f>+P5*R6-K7-R12</f>
        <v>255.59770635174866</v>
      </c>
      <c r="S7" s="155">
        <f>+S5*S6-K7-S12</f>
        <v>169.144928573971</v>
      </c>
      <c r="T7" s="155">
        <f>+T6*S5-K7-T12</f>
        <v>244.87131746285988</v>
      </c>
      <c r="U7" s="155">
        <f>+U6*S5-K7-U12</f>
        <v>320.59770635174874</v>
      </c>
      <c r="V7" s="3"/>
      <c r="W7" s="3"/>
      <c r="X7" s="3"/>
      <c r="Y7" s="3"/>
      <c r="Z7" s="12"/>
      <c r="AA7" s="13"/>
      <c r="AB7" s="13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92" t="s">
        <v>101</v>
      </c>
      <c r="B8" s="101"/>
      <c r="C8" s="101"/>
      <c r="D8" s="102"/>
      <c r="E8" s="83">
        <v>1200</v>
      </c>
      <c r="F8" s="84">
        <v>0.7</v>
      </c>
      <c r="G8" s="112">
        <f>+E8*F8</f>
        <v>840</v>
      </c>
      <c r="H8" s="110">
        <f>+G8/E8*100</f>
        <v>70</v>
      </c>
      <c r="I8" s="3"/>
      <c r="J8" s="47" t="s">
        <v>104</v>
      </c>
      <c r="K8" s="62">
        <f>+($K$5+L8)*(1+$F$44/12*$C$44)</f>
        <v>689.6578492038068</v>
      </c>
      <c r="L8" s="66">
        <v>175</v>
      </c>
      <c r="M8" s="155">
        <f>+$M$5*$M$6-K8-$M$12</f>
        <v>33.33242857397087</v>
      </c>
      <c r="N8" s="155">
        <f>+N6*M5-K8-N12</f>
        <v>99.05881746285976</v>
      </c>
      <c r="O8" s="155">
        <f>+O6*M5-K8-O12</f>
        <v>164.78520635174866</v>
      </c>
      <c r="P8" s="155">
        <f>+P6*P5-K8-P12</f>
        <v>88.33242857397099</v>
      </c>
      <c r="Q8" s="155">
        <f>+Q6*P5-K8-Q12</f>
        <v>159.05881746285988</v>
      </c>
      <c r="R8" s="155">
        <f>+R6*P5-K8-R12</f>
        <v>229.78520635174866</v>
      </c>
      <c r="S8" s="155">
        <f>+S6*S5-K8-S12</f>
        <v>143.332428573971</v>
      </c>
      <c r="T8" s="155">
        <f>+T6*S5-K8-T12</f>
        <v>219.05881746285988</v>
      </c>
      <c r="U8" s="155">
        <f>+U6*S5-K8-U12</f>
        <v>294.78520635174874</v>
      </c>
      <c r="V8" s="3"/>
      <c r="W8" s="3"/>
      <c r="X8" s="3"/>
      <c r="Y8" s="3"/>
      <c r="Z8" s="12"/>
      <c r="AA8" s="13"/>
      <c r="AB8" s="13"/>
      <c r="AC8" s="6"/>
      <c r="AD8" s="15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98"/>
      <c r="B9" s="99"/>
      <c r="C9" s="99"/>
      <c r="D9" s="99"/>
      <c r="E9" s="99"/>
      <c r="F9" s="99"/>
      <c r="G9" s="99"/>
      <c r="H9" s="108"/>
      <c r="I9" s="3"/>
      <c r="J9" s="52"/>
      <c r="K9" s="62">
        <f>+($K$5+L9)*(1+$F$44/12*$C$44)</f>
        <v>715.4703492038068</v>
      </c>
      <c r="L9" s="66">
        <v>200</v>
      </c>
      <c r="M9" s="155">
        <f>+$M$5*$M$6-K9-$M$12</f>
        <v>7.51992857397087</v>
      </c>
      <c r="N9" s="155">
        <f>+N6*M5-K9-N12</f>
        <v>73.24631746285976</v>
      </c>
      <c r="O9" s="155">
        <f>+O6*M5-K9-O12</f>
        <v>138.97270635174866</v>
      </c>
      <c r="P9" s="155">
        <f>+P6*P5-K9-P12</f>
        <v>62.51992857397099</v>
      </c>
      <c r="Q9" s="155">
        <f>+Q6*P5-K9-Q12</f>
        <v>133.24631746285988</v>
      </c>
      <c r="R9" s="155">
        <f>+R6*P5-K9-R12</f>
        <v>203.97270635174866</v>
      </c>
      <c r="S9" s="155">
        <f>+S6*S5-K9-S12</f>
        <v>117.51992857397099</v>
      </c>
      <c r="T9" s="155">
        <f>+T6*S5-K9-T12</f>
        <v>193.24631746285988</v>
      </c>
      <c r="U9" s="155">
        <f>+U6*S5-K9-U12</f>
        <v>268.97270635174874</v>
      </c>
      <c r="V9" s="3"/>
      <c r="W9" s="3"/>
      <c r="X9" s="3"/>
      <c r="Y9" s="3"/>
      <c r="Z9" s="12"/>
      <c r="AA9" s="13"/>
      <c r="AB9" s="13"/>
      <c r="AC9" s="6"/>
      <c r="AD9" s="15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96" t="s">
        <v>112</v>
      </c>
      <c r="B10" s="103"/>
      <c r="C10" s="103"/>
      <c r="D10" s="97" t="s">
        <v>15</v>
      </c>
      <c r="E10" s="97" t="s">
        <v>16</v>
      </c>
      <c r="F10" s="97" t="s">
        <v>17</v>
      </c>
      <c r="G10" s="97" t="s">
        <v>18</v>
      </c>
      <c r="H10" s="111" t="s">
        <v>46</v>
      </c>
      <c r="I10" s="3"/>
      <c r="J10" s="52"/>
      <c r="K10" s="62">
        <f>+($K$5+L10)*(1+$F$44/12*$C$44)</f>
        <v>741.2828492038068</v>
      </c>
      <c r="L10" s="66">
        <v>225</v>
      </c>
      <c r="M10" s="155">
        <f>+$M$5*$M$6-K10-$M$12</f>
        <v>-18.29257142602913</v>
      </c>
      <c r="N10" s="155">
        <f>+N6*M5-K10-N12</f>
        <v>47.43381746285976</v>
      </c>
      <c r="O10" s="155">
        <f>+O6*M5-K10-O12</f>
        <v>113.16020635174864</v>
      </c>
      <c r="P10" s="155">
        <f>+P6*P5-K10-P12</f>
        <v>36.70742857397099</v>
      </c>
      <c r="Q10" s="155">
        <f>+Q6*P5-K10-Q12</f>
        <v>107.43381746285988</v>
      </c>
      <c r="R10" s="155">
        <f>+R6*P5-K10-R12</f>
        <v>178.16020635174866</v>
      </c>
      <c r="S10" s="155">
        <f>+S6*S5-K10-S12</f>
        <v>91.70742857397099</v>
      </c>
      <c r="T10" s="155">
        <f>+T6*S5-K10-T12</f>
        <v>167.43381746285988</v>
      </c>
      <c r="U10" s="155">
        <f>+U6*S5-K10-U12</f>
        <v>243.16020635174877</v>
      </c>
      <c r="V10" s="3"/>
      <c r="W10" s="3"/>
      <c r="X10" s="3"/>
      <c r="Y10" s="3"/>
      <c r="Z10" s="12"/>
      <c r="AA10" s="13"/>
      <c r="AB10" s="13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113" t="s">
        <v>0</v>
      </c>
      <c r="B11" s="114"/>
      <c r="C11" s="114"/>
      <c r="D11" s="95" t="s">
        <v>19</v>
      </c>
      <c r="E11" s="95">
        <v>1</v>
      </c>
      <c r="F11" s="85">
        <v>0</v>
      </c>
      <c r="G11" s="118">
        <f>+E11*F11</f>
        <v>0</v>
      </c>
      <c r="H11" s="119">
        <f>+G11/$E$8*100</f>
        <v>0</v>
      </c>
      <c r="I11" s="3"/>
      <c r="J11" s="3"/>
      <c r="K11" s="62">
        <f>+($K$5+L11)*(1+$F$44/12*$C$44)</f>
        <v>767.0953492038068</v>
      </c>
      <c r="L11" s="66">
        <v>250</v>
      </c>
      <c r="M11" s="155">
        <f>+$M$5*$M$6-K11-$M$12</f>
        <v>-44.10507142602913</v>
      </c>
      <c r="N11" s="155">
        <f>+N6*M5-K11-N12</f>
        <v>21.621317462859757</v>
      </c>
      <c r="O11" s="155">
        <f>+O6*M5-K11-O12</f>
        <v>87.34770635174864</v>
      </c>
      <c r="P11" s="155">
        <f>+P6*P5-K11-P12</f>
        <v>10.894928573970983</v>
      </c>
      <c r="Q11" s="155">
        <f>+Q6*P5-K11-Q12</f>
        <v>81.62131746285988</v>
      </c>
      <c r="R11" s="155">
        <f>+R6*P5-K11-R12</f>
        <v>152.34770635174866</v>
      </c>
      <c r="S11" s="155">
        <f>+S6*S5-K11-S12</f>
        <v>65.89492857397099</v>
      </c>
      <c r="T11" s="155">
        <f>+T6*S5-K11-T12</f>
        <v>141.62131746285988</v>
      </c>
      <c r="U11" s="155">
        <f>+U6*S5-K11-U12</f>
        <v>217.34770635174877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3.5" customHeight="1">
      <c r="A12" s="113" t="s">
        <v>123</v>
      </c>
      <c r="B12" s="114"/>
      <c r="C12" s="114"/>
      <c r="D12" s="95" t="s">
        <v>19</v>
      </c>
      <c r="E12" s="95">
        <v>1</v>
      </c>
      <c r="F12" s="85">
        <v>18</v>
      </c>
      <c r="G12" s="118">
        <f>+E12*F12</f>
        <v>18</v>
      </c>
      <c r="H12" s="119">
        <f>+G12/$E$8*100</f>
        <v>1.5</v>
      </c>
      <c r="I12" s="3"/>
      <c r="J12" s="3"/>
      <c r="K12" s="51"/>
      <c r="L12" s="63"/>
      <c r="M12" s="64">
        <f>+$K$6/100*M6</f>
        <v>-7.9902777777777745</v>
      </c>
      <c r="N12" s="64">
        <f aca="true" t="shared" si="0" ref="N12:U12">+$K$6/100*N6</f>
        <v>-8.716666666666663</v>
      </c>
      <c r="O12" s="64">
        <f t="shared" si="0"/>
        <v>-9.443055555555551</v>
      </c>
      <c r="P12" s="64">
        <f t="shared" si="0"/>
        <v>-7.9902777777777745</v>
      </c>
      <c r="Q12" s="64">
        <f t="shared" si="0"/>
        <v>-8.716666666666663</v>
      </c>
      <c r="R12" s="64">
        <f t="shared" si="0"/>
        <v>-9.443055555555551</v>
      </c>
      <c r="S12" s="64">
        <f t="shared" si="0"/>
        <v>-7.9902777777777745</v>
      </c>
      <c r="T12" s="64">
        <f t="shared" si="0"/>
        <v>-8.716666666666663</v>
      </c>
      <c r="U12" s="64">
        <f t="shared" si="0"/>
        <v>-9.443055555555551</v>
      </c>
      <c r="V12" s="65"/>
      <c r="W12" s="3"/>
      <c r="X12" s="3"/>
      <c r="Y12" s="3"/>
      <c r="Z12" s="12"/>
      <c r="AA12" s="13"/>
      <c r="AB12" s="13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113" t="s">
        <v>124</v>
      </c>
      <c r="B13" s="114"/>
      <c r="C13" s="114"/>
      <c r="D13" s="95" t="s">
        <v>122</v>
      </c>
      <c r="E13" s="115">
        <f>+H5/1000</f>
        <v>36.299886750000006</v>
      </c>
      <c r="F13" s="85">
        <v>2.387</v>
      </c>
      <c r="G13" s="118">
        <f>+F13*E13</f>
        <v>86.64782967225001</v>
      </c>
      <c r="H13" s="119">
        <f>+G13/E8*100</f>
        <v>7.220652472687501</v>
      </c>
      <c r="I13" s="3"/>
      <c r="J13" s="3"/>
      <c r="K13" s="3"/>
      <c r="L13" s="63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3"/>
      <c r="X13" s="3"/>
      <c r="Y13" s="3"/>
      <c r="Z13" s="12"/>
      <c r="AA13" s="13"/>
      <c r="AB13" s="13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113" t="s">
        <v>121</v>
      </c>
      <c r="B14" s="99"/>
      <c r="C14" s="116"/>
      <c r="D14" s="95" t="s">
        <v>122</v>
      </c>
      <c r="E14" s="115">
        <f>+H5/1000</f>
        <v>36.299886750000006</v>
      </c>
      <c r="F14" s="85">
        <v>0.39</v>
      </c>
      <c r="G14" s="118">
        <f>+E14*F14</f>
        <v>14.156955832500003</v>
      </c>
      <c r="H14" s="119">
        <f>+G14/$E$8*100</f>
        <v>1.1797463193750004</v>
      </c>
      <c r="I14" s="3"/>
      <c r="J14" s="3"/>
      <c r="K14" s="3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3"/>
      <c r="X14" s="3"/>
      <c r="Y14" s="3"/>
      <c r="Z14" s="12"/>
      <c r="AA14" s="13"/>
      <c r="AB14" s="13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113" t="s">
        <v>45</v>
      </c>
      <c r="B15" s="114"/>
      <c r="C15" s="114"/>
      <c r="D15" s="95" t="s">
        <v>20</v>
      </c>
      <c r="E15" s="83">
        <v>0.33</v>
      </c>
      <c r="F15" s="85">
        <v>45</v>
      </c>
      <c r="G15" s="118">
        <f>+E15*F15</f>
        <v>14.850000000000001</v>
      </c>
      <c r="H15" s="119">
        <f>+G15/$E$8*100</f>
        <v>1.2375</v>
      </c>
      <c r="I15" s="3"/>
      <c r="J15" s="156" t="s">
        <v>53</v>
      </c>
      <c r="K15" s="157"/>
      <c r="L15" s="66">
        <v>900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  <c r="X15" s="3"/>
      <c r="Y15" s="3"/>
      <c r="Z15" s="12"/>
      <c r="AA15" s="32"/>
      <c r="AB15" s="33"/>
      <c r="AC15" s="33"/>
      <c r="AD15" s="33"/>
      <c r="AE15" s="30"/>
      <c r="AF15" s="30"/>
      <c r="AG15" s="30"/>
      <c r="AH15" s="7"/>
      <c r="AI15" s="7"/>
      <c r="AJ15" s="9"/>
      <c r="AK15" s="9"/>
      <c r="AL15" s="9"/>
    </row>
    <row r="16" spans="1:38" ht="13.5" customHeight="1">
      <c r="A16" s="113" t="s">
        <v>48</v>
      </c>
      <c r="B16" s="114"/>
      <c r="C16" s="114"/>
      <c r="D16" s="95"/>
      <c r="E16" s="95"/>
      <c r="F16" s="118"/>
      <c r="G16" s="118"/>
      <c r="H16" s="119"/>
      <c r="I16" s="3"/>
      <c r="J16" s="158"/>
      <c r="K16" s="159"/>
      <c r="L16" s="162"/>
      <c r="M16" s="221" t="s">
        <v>54</v>
      </c>
      <c r="N16" s="222"/>
      <c r="O16" s="222"/>
      <c r="P16" s="223"/>
      <c r="Q16" s="221" t="s">
        <v>78</v>
      </c>
      <c r="R16" s="222"/>
      <c r="S16" s="222"/>
      <c r="T16" s="223"/>
      <c r="U16" s="221" t="s">
        <v>55</v>
      </c>
      <c r="V16" s="222"/>
      <c r="W16" s="223"/>
      <c r="X16" s="3"/>
      <c r="Y16" s="3"/>
      <c r="Z16" s="12"/>
      <c r="AA16" s="34"/>
      <c r="AB16" s="34"/>
      <c r="AC16" s="34"/>
      <c r="AD16" s="34"/>
      <c r="AE16" s="31"/>
      <c r="AF16" s="9"/>
      <c r="AG16" s="31"/>
      <c r="AH16" s="7"/>
      <c r="AI16" s="7"/>
      <c r="AJ16" s="9"/>
      <c r="AK16" s="9"/>
      <c r="AL16" s="9"/>
    </row>
    <row r="17" spans="1:38" ht="13.5" customHeight="1">
      <c r="A17" s="113" t="s">
        <v>1</v>
      </c>
      <c r="B17" s="114"/>
      <c r="C17" s="114"/>
      <c r="D17" s="95" t="s">
        <v>21</v>
      </c>
      <c r="E17" s="83">
        <v>90</v>
      </c>
      <c r="F17" s="85">
        <v>0.5</v>
      </c>
      <c r="G17" s="118">
        <f>+E17*F17</f>
        <v>45</v>
      </c>
      <c r="H17" s="119">
        <f>+G17/$E$8*100</f>
        <v>3.75</v>
      </c>
      <c r="I17" s="3"/>
      <c r="J17" s="160"/>
      <c r="K17" s="146"/>
      <c r="L17" s="163" t="s">
        <v>56</v>
      </c>
      <c r="M17" s="166" t="s">
        <v>57</v>
      </c>
      <c r="N17" s="166" t="s">
        <v>58</v>
      </c>
      <c r="O17" s="166" t="s">
        <v>59</v>
      </c>
      <c r="P17" s="166" t="s">
        <v>60</v>
      </c>
      <c r="Q17" s="166" t="s">
        <v>61</v>
      </c>
      <c r="R17" s="166" t="s">
        <v>59</v>
      </c>
      <c r="S17" s="166" t="s">
        <v>62</v>
      </c>
      <c r="T17" s="166" t="s">
        <v>63</v>
      </c>
      <c r="U17" s="166" t="s">
        <v>64</v>
      </c>
      <c r="V17" s="166" t="s">
        <v>98</v>
      </c>
      <c r="W17" s="166" t="s">
        <v>47</v>
      </c>
      <c r="X17" s="12"/>
      <c r="Y17" s="12"/>
      <c r="Z17" s="12"/>
      <c r="AA17" s="35"/>
      <c r="AB17" s="34"/>
      <c r="AC17" s="34"/>
      <c r="AD17" s="34"/>
      <c r="AE17" s="31"/>
      <c r="AF17" s="9"/>
      <c r="AG17" s="31"/>
      <c r="AH17" s="7"/>
      <c r="AI17" s="7"/>
      <c r="AJ17" s="9"/>
      <c r="AK17" s="9"/>
      <c r="AL17" s="9"/>
    </row>
    <row r="18" spans="1:38" ht="13.5" customHeight="1">
      <c r="A18" s="113" t="s">
        <v>2</v>
      </c>
      <c r="B18" s="114"/>
      <c r="C18" s="114"/>
      <c r="D18" s="95" t="s">
        <v>21</v>
      </c>
      <c r="E18" s="83">
        <v>70</v>
      </c>
      <c r="F18" s="85">
        <v>0.42</v>
      </c>
      <c r="G18" s="118">
        <f>+E18*F18</f>
        <v>29.4</v>
      </c>
      <c r="H18" s="119">
        <f>+G18/$E$8*100</f>
        <v>2.4499999999999997</v>
      </c>
      <c r="I18" s="3"/>
      <c r="J18" s="161" t="s">
        <v>65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7"/>
      <c r="X18" s="12"/>
      <c r="Y18" s="12"/>
      <c r="Z18" s="12"/>
      <c r="AA18" s="34"/>
      <c r="AB18" s="34"/>
      <c r="AC18" s="34"/>
      <c r="AD18" s="34"/>
      <c r="AE18" s="31"/>
      <c r="AF18" s="9"/>
      <c r="AG18" s="31"/>
      <c r="AH18" s="7"/>
      <c r="AI18" s="7"/>
      <c r="AJ18" s="9"/>
      <c r="AK18" s="9"/>
      <c r="AL18" s="9"/>
    </row>
    <row r="19" spans="1:38" ht="13.5" customHeight="1">
      <c r="A19" s="113" t="s">
        <v>3</v>
      </c>
      <c r="B19" s="114"/>
      <c r="C19" s="114"/>
      <c r="D19" s="95" t="s">
        <v>21</v>
      </c>
      <c r="E19" s="83">
        <v>70</v>
      </c>
      <c r="F19" s="85">
        <v>0.34</v>
      </c>
      <c r="G19" s="118">
        <f>+E19*F19</f>
        <v>23.8</v>
      </c>
      <c r="H19" s="119">
        <f>+G19/$E$8*100</f>
        <v>1.9833333333333334</v>
      </c>
      <c r="I19" s="3"/>
      <c r="J19" s="235" t="s">
        <v>132</v>
      </c>
      <c r="K19" s="235"/>
      <c r="L19" s="67">
        <v>225000</v>
      </c>
      <c r="M19" s="68">
        <v>11.61</v>
      </c>
      <c r="N19" s="168">
        <f>+L19*M19/100</f>
        <v>26122.5</v>
      </c>
      <c r="O19" s="67">
        <v>500</v>
      </c>
      <c r="P19" s="169">
        <f>IF(O19=0," ",+N19/O19)</f>
        <v>52.245</v>
      </c>
      <c r="Q19" s="67">
        <v>55</v>
      </c>
      <c r="R19" s="175">
        <f>+O19*Q19/100</f>
        <v>275</v>
      </c>
      <c r="S19" s="176">
        <f>IF(R19=0," ",+R19/L15)</f>
        <v>0.3055555555555556</v>
      </c>
      <c r="T19" s="169">
        <f>+N19*Q19/100/L15</f>
        <v>15.96375</v>
      </c>
      <c r="U19" s="67">
        <v>5700</v>
      </c>
      <c r="V19" s="168">
        <f>+U19*Q19/100</f>
        <v>3135</v>
      </c>
      <c r="W19" s="169">
        <f>+V19/L15</f>
        <v>3.4833333333333334</v>
      </c>
      <c r="X19" s="12"/>
      <c r="Y19" s="12"/>
      <c r="Z19" s="20"/>
      <c r="AA19" s="34"/>
      <c r="AB19" s="36"/>
      <c r="AC19" s="34"/>
      <c r="AD19" s="34"/>
      <c r="AE19" s="31"/>
      <c r="AF19" s="9"/>
      <c r="AG19" s="31"/>
      <c r="AH19" s="7"/>
      <c r="AI19" s="7"/>
      <c r="AJ19" s="9"/>
      <c r="AK19" s="9"/>
      <c r="AL19" s="9"/>
    </row>
    <row r="20" spans="1:38" ht="13.5" customHeight="1">
      <c r="A20" s="113" t="s">
        <v>84</v>
      </c>
      <c r="B20" s="114"/>
      <c r="C20" s="114"/>
      <c r="D20" s="95" t="s">
        <v>52</v>
      </c>
      <c r="E20" s="83">
        <v>0</v>
      </c>
      <c r="F20" s="85">
        <v>44</v>
      </c>
      <c r="G20" s="118">
        <f>+E20*F20</f>
        <v>0</v>
      </c>
      <c r="H20" s="119">
        <f>+G20/$E$8*100</f>
        <v>0</v>
      </c>
      <c r="I20" s="3"/>
      <c r="J20" s="235" t="s">
        <v>133</v>
      </c>
      <c r="K20" s="235"/>
      <c r="L20" s="67">
        <v>175000</v>
      </c>
      <c r="M20" s="68">
        <v>11.61</v>
      </c>
      <c r="N20" s="175">
        <f>+L20*M20/100</f>
        <v>20317.5</v>
      </c>
      <c r="O20" s="67">
        <v>600</v>
      </c>
      <c r="P20" s="169">
        <f>IF(O20=0," ",+N20/O20)</f>
        <v>33.8625</v>
      </c>
      <c r="Q20" s="67">
        <v>65</v>
      </c>
      <c r="R20" s="175">
        <f>+O20*Q20/100</f>
        <v>390</v>
      </c>
      <c r="S20" s="176">
        <f>IF(R20=0," ",+R20/L15)</f>
        <v>0.43333333333333335</v>
      </c>
      <c r="T20" s="169">
        <f>+N20*Q20/100/L15</f>
        <v>14.67375</v>
      </c>
      <c r="U20" s="67">
        <v>4400</v>
      </c>
      <c r="V20" s="168">
        <f>+U20*Q20/100</f>
        <v>2860</v>
      </c>
      <c r="W20" s="169">
        <f>+V20/L15</f>
        <v>3.1777777777777776</v>
      </c>
      <c r="X20" s="12"/>
      <c r="Y20" s="12"/>
      <c r="Z20" s="21"/>
      <c r="AA20" s="35"/>
      <c r="AB20" s="34"/>
      <c r="AC20" s="34"/>
      <c r="AD20" s="34"/>
      <c r="AE20" s="31"/>
      <c r="AF20" s="9"/>
      <c r="AG20" s="31"/>
      <c r="AH20" s="7"/>
      <c r="AI20" s="7"/>
      <c r="AJ20" s="9"/>
      <c r="AK20" s="9"/>
      <c r="AL20" s="9"/>
    </row>
    <row r="21" spans="1:38" ht="13.5" customHeight="1">
      <c r="A21" s="113" t="s">
        <v>141</v>
      </c>
      <c r="B21" s="114"/>
      <c r="C21" s="114"/>
      <c r="D21" s="95" t="s">
        <v>19</v>
      </c>
      <c r="E21" s="95">
        <v>1</v>
      </c>
      <c r="F21" s="85">
        <v>5.5</v>
      </c>
      <c r="G21" s="118">
        <f>+E21*F21</f>
        <v>5.5</v>
      </c>
      <c r="H21" s="119">
        <f>+G21/$E$8*100</f>
        <v>0.4583333333333333</v>
      </c>
      <c r="I21" s="3"/>
      <c r="J21" s="235" t="s">
        <v>90</v>
      </c>
      <c r="K21" s="235"/>
      <c r="L21" s="67">
        <v>74000</v>
      </c>
      <c r="M21" s="68">
        <v>11.61</v>
      </c>
      <c r="N21" s="168">
        <f>+L21*M21/100</f>
        <v>8591.4</v>
      </c>
      <c r="O21" s="67">
        <v>500</v>
      </c>
      <c r="P21" s="169">
        <f>IF(O21=0," ",+N21/O21)</f>
        <v>17.1828</v>
      </c>
      <c r="Q21" s="67">
        <v>30</v>
      </c>
      <c r="R21" s="175">
        <f>+O21*Q21/100</f>
        <v>150</v>
      </c>
      <c r="S21" s="176">
        <f>IF(R21=0," ",+R21/L15)</f>
        <v>0.16666666666666666</v>
      </c>
      <c r="T21" s="169">
        <f>IF(N21=0," ",+N21*Q21/100/L15)</f>
        <v>2.8638</v>
      </c>
      <c r="U21" s="67">
        <v>1900</v>
      </c>
      <c r="V21" s="168">
        <f>+U21*Q21/100</f>
        <v>570</v>
      </c>
      <c r="W21" s="169">
        <f>+V21/L15</f>
        <v>0.6333333333333333</v>
      </c>
      <c r="X21" s="12"/>
      <c r="Y21" s="12"/>
      <c r="Z21" s="44"/>
      <c r="AA21" s="34"/>
      <c r="AB21" s="36"/>
      <c r="AC21" s="34"/>
      <c r="AD21" s="34"/>
      <c r="AE21" s="31"/>
      <c r="AF21" s="9"/>
      <c r="AG21" s="31"/>
      <c r="AH21" s="7"/>
      <c r="AI21" s="7"/>
      <c r="AJ21" s="9"/>
      <c r="AK21" s="9"/>
      <c r="AL21" s="9"/>
    </row>
    <row r="22" spans="1:38" ht="13.5" customHeight="1">
      <c r="A22" s="113" t="s">
        <v>111</v>
      </c>
      <c r="B22" s="114"/>
      <c r="C22" s="114"/>
      <c r="D22" s="95"/>
      <c r="E22" s="95"/>
      <c r="F22" s="118"/>
      <c r="G22" s="118"/>
      <c r="H22" s="119"/>
      <c r="I22" s="3"/>
      <c r="J22" s="180"/>
      <c r="K22" s="164"/>
      <c r="L22" s="164"/>
      <c r="M22" s="164"/>
      <c r="N22" s="164"/>
      <c r="O22" s="164"/>
      <c r="P22" s="164"/>
      <c r="Q22" s="164"/>
      <c r="R22" s="164"/>
      <c r="S22" s="177"/>
      <c r="T22" s="164"/>
      <c r="U22" s="164"/>
      <c r="V22" s="170"/>
      <c r="W22" s="171"/>
      <c r="X22" s="12"/>
      <c r="Y22" s="12"/>
      <c r="Z22" s="46"/>
      <c r="AA22" s="16"/>
      <c r="AB22" s="16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113" t="s">
        <v>93</v>
      </c>
      <c r="B23" s="114"/>
      <c r="C23" s="114"/>
      <c r="D23" s="95" t="s">
        <v>19</v>
      </c>
      <c r="E23" s="95">
        <v>1</v>
      </c>
      <c r="F23" s="85">
        <v>6.76</v>
      </c>
      <c r="G23" s="120">
        <f>+E23*F23</f>
        <v>6.76</v>
      </c>
      <c r="H23" s="119">
        <f>+G23/$E$8*100</f>
        <v>0.5633333333333334</v>
      </c>
      <c r="I23" s="3"/>
      <c r="J23" s="154" t="s">
        <v>66</v>
      </c>
      <c r="K23" s="175"/>
      <c r="L23" s="67">
        <v>175000</v>
      </c>
      <c r="M23" s="68">
        <v>14.17</v>
      </c>
      <c r="N23" s="168">
        <f>+L23*M23/100</f>
        <v>24797.5</v>
      </c>
      <c r="O23" s="67">
        <v>255</v>
      </c>
      <c r="P23" s="169">
        <f>IF(O23=0," ",+N23/O23)</f>
        <v>97.24509803921569</v>
      </c>
      <c r="Q23" s="67">
        <v>65</v>
      </c>
      <c r="R23" s="168">
        <f>+O23*Q23/100</f>
        <v>165.75</v>
      </c>
      <c r="S23" s="176">
        <f>IF(R23=0," ",+R23/L15)</f>
        <v>0.18416666666666667</v>
      </c>
      <c r="T23" s="169">
        <f>+N23*Q23/100/L15</f>
        <v>17.909305555555555</v>
      </c>
      <c r="U23" s="67">
        <v>4800</v>
      </c>
      <c r="V23" s="168">
        <f>+U23*Q23/100</f>
        <v>3120</v>
      </c>
      <c r="W23" s="169">
        <f>+V23/L15</f>
        <v>3.466666666666667</v>
      </c>
      <c r="X23" s="12"/>
      <c r="Y23" s="43"/>
      <c r="Z23" s="46"/>
      <c r="AB23" s="16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113" t="s">
        <v>125</v>
      </c>
      <c r="B24" s="99"/>
      <c r="C24" s="99"/>
      <c r="D24" s="95" t="s">
        <v>19</v>
      </c>
      <c r="E24" s="117">
        <v>1</v>
      </c>
      <c r="F24" s="85">
        <v>9.13</v>
      </c>
      <c r="G24" s="120">
        <f>+E24*F24</f>
        <v>9.13</v>
      </c>
      <c r="H24" s="121">
        <f>+G24/$E$8*100</f>
        <v>0.7608333333333334</v>
      </c>
      <c r="I24" s="3"/>
      <c r="J24" s="180"/>
      <c r="K24" s="164"/>
      <c r="L24" s="164"/>
      <c r="M24" s="164"/>
      <c r="N24" s="164"/>
      <c r="O24" s="164"/>
      <c r="P24" s="164"/>
      <c r="Q24" s="164"/>
      <c r="R24" s="164"/>
      <c r="S24" s="177"/>
      <c r="T24" s="164"/>
      <c r="U24" s="164"/>
      <c r="V24" s="170"/>
      <c r="W24" s="171"/>
      <c r="X24" s="12"/>
      <c r="Y24" s="46"/>
      <c r="Z24" s="22"/>
      <c r="AA24" s="16"/>
      <c r="AB24" s="16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113" t="s">
        <v>126</v>
      </c>
      <c r="B25" s="114"/>
      <c r="C25" s="114"/>
      <c r="D25" s="95" t="s">
        <v>19</v>
      </c>
      <c r="E25" s="95">
        <v>1</v>
      </c>
      <c r="F25" s="85">
        <v>32.54</v>
      </c>
      <c r="G25" s="118">
        <f>+F25*E25</f>
        <v>32.54</v>
      </c>
      <c r="H25" s="119">
        <f>+G25/$E$8*100</f>
        <v>2.711666666666667</v>
      </c>
      <c r="I25" s="3"/>
      <c r="J25" s="156" t="s">
        <v>67</v>
      </c>
      <c r="K25" s="165"/>
      <c r="L25" s="67">
        <v>465000</v>
      </c>
      <c r="M25" s="68">
        <v>13.81</v>
      </c>
      <c r="N25" s="168">
        <f>+L25*M25/100</f>
        <v>64216.5</v>
      </c>
      <c r="O25" s="67">
        <v>155</v>
      </c>
      <c r="P25" s="169">
        <f>IF(O25=0," ",+N25/O25)</f>
        <v>414.3</v>
      </c>
      <c r="Q25" s="67">
        <v>100</v>
      </c>
      <c r="R25" s="175">
        <f>+O25*Q25/100</f>
        <v>155</v>
      </c>
      <c r="S25" s="176">
        <f>IF(R25=0," ",+R25/L15)</f>
        <v>0.17222222222222222</v>
      </c>
      <c r="T25" s="169">
        <f>+N25*Q25/100/L15</f>
        <v>71.35166666666667</v>
      </c>
      <c r="U25" s="67">
        <v>12750</v>
      </c>
      <c r="V25" s="168">
        <f>+U25*Q25/100</f>
        <v>12750</v>
      </c>
      <c r="W25" s="169">
        <f>+V25/L15</f>
        <v>14.166666666666666</v>
      </c>
      <c r="X25" s="12"/>
      <c r="Y25" s="46"/>
      <c r="Z25" s="22"/>
      <c r="AA25" s="16"/>
      <c r="AB25" s="16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113" t="s">
        <v>127</v>
      </c>
      <c r="B26" s="114"/>
      <c r="C26" s="114"/>
      <c r="D26" s="95" t="s">
        <v>19</v>
      </c>
      <c r="E26" s="95">
        <v>1</v>
      </c>
      <c r="F26" s="85">
        <v>15.49</v>
      </c>
      <c r="G26" s="118">
        <f>+E26*F26</f>
        <v>15.49</v>
      </c>
      <c r="H26" s="119">
        <f>+G26/$E$8*100</f>
        <v>1.2908333333333335</v>
      </c>
      <c r="I26" s="3"/>
      <c r="J26" s="160"/>
      <c r="K26" s="146"/>
      <c r="L26" s="146"/>
      <c r="M26" s="181"/>
      <c r="N26" s="146"/>
      <c r="O26" s="146"/>
      <c r="P26" s="178"/>
      <c r="Q26" s="146"/>
      <c r="R26" s="146"/>
      <c r="S26" s="178"/>
      <c r="T26" s="178"/>
      <c r="U26" s="146"/>
      <c r="V26" s="146"/>
      <c r="W26" s="172"/>
      <c r="X26" s="12"/>
      <c r="Y26" s="12"/>
      <c r="Z26" s="22"/>
      <c r="AA26" s="16"/>
      <c r="AB26" s="16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113" t="s">
        <v>88</v>
      </c>
      <c r="B27" s="114"/>
      <c r="C27" s="114"/>
      <c r="D27" s="95" t="s">
        <v>19</v>
      </c>
      <c r="E27" s="95">
        <v>1</v>
      </c>
      <c r="F27" s="85">
        <v>15</v>
      </c>
      <c r="G27" s="118">
        <f>+E27*F27</f>
        <v>15</v>
      </c>
      <c r="H27" s="119">
        <f>+G27/$E$8*100</f>
        <v>1.25</v>
      </c>
      <c r="I27" s="3"/>
      <c r="J27" s="156" t="s">
        <v>68</v>
      </c>
      <c r="K27" s="157"/>
      <c r="L27" s="157"/>
      <c r="M27" s="182"/>
      <c r="N27" s="173">
        <f>SUM(N18:N26)</f>
        <v>144045.4</v>
      </c>
      <c r="O27" s="157"/>
      <c r="P27" s="179"/>
      <c r="Q27" s="173">
        <f>+Q19/100*N19+Q20/100*N20+Q21/100*N21+Q23/100*N23+Q25/100*N25</f>
        <v>110486.045</v>
      </c>
      <c r="R27" s="157"/>
      <c r="S27" s="179"/>
      <c r="T27" s="179">
        <f>SUM(T19:T26)</f>
        <v>122.76227222222224</v>
      </c>
      <c r="U27" s="173">
        <f>SUM(U19:U26)</f>
        <v>29550</v>
      </c>
      <c r="V27" s="173">
        <f>SUM(V19:V26)</f>
        <v>22435</v>
      </c>
      <c r="W27" s="174">
        <f>SUM(W19:W26)</f>
        <v>24.927777777777777</v>
      </c>
      <c r="X27" s="12"/>
      <c r="Y27" s="12"/>
      <c r="Z27" s="22"/>
      <c r="AA27" s="16"/>
      <c r="AB27" s="16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113" t="s">
        <v>87</v>
      </c>
      <c r="B28" s="114"/>
      <c r="C28" s="114"/>
      <c r="D28" s="114"/>
      <c r="E28" s="114"/>
      <c r="F28" s="114"/>
      <c r="G28" s="95"/>
      <c r="H28" s="119"/>
      <c r="I28" s="3"/>
      <c r="J28" s="3"/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2"/>
      <c r="Y28" s="12"/>
      <c r="Z28" s="22"/>
      <c r="AA28" s="16"/>
      <c r="AB28" s="16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113" t="s">
        <v>89</v>
      </c>
      <c r="B29" s="114"/>
      <c r="C29" s="114"/>
      <c r="D29" s="95" t="s">
        <v>19</v>
      </c>
      <c r="E29" s="95">
        <v>1</v>
      </c>
      <c r="F29" s="85">
        <v>10</v>
      </c>
      <c r="G29" s="118">
        <f>+F29</f>
        <v>10</v>
      </c>
      <c r="H29" s="119">
        <f aca="true" t="shared" si="1" ref="H29:H37">+G29/$E$8*100</f>
        <v>0.8333333333333334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22"/>
      <c r="AA29" s="16"/>
      <c r="AB29" s="16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113" t="s">
        <v>129</v>
      </c>
      <c r="B30" s="114"/>
      <c r="C30" s="114"/>
      <c r="D30" s="95" t="s">
        <v>21</v>
      </c>
      <c r="E30" s="83">
        <v>0</v>
      </c>
      <c r="F30" s="85">
        <v>0</v>
      </c>
      <c r="G30" s="118">
        <f aca="true" t="shared" si="2" ref="G30:G37">+E30*F30</f>
        <v>0</v>
      </c>
      <c r="H30" s="119">
        <f t="shared" si="1"/>
        <v>0</v>
      </c>
      <c r="I30" s="3"/>
      <c r="J30" s="183" t="s">
        <v>69</v>
      </c>
      <c r="K30" s="184"/>
      <c r="L30" s="69">
        <v>1.8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3"/>
      <c r="Z30" s="22"/>
      <c r="AA30" s="16"/>
      <c r="AB30" s="16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113" t="s">
        <v>107</v>
      </c>
      <c r="B31" s="114"/>
      <c r="C31" s="114"/>
      <c r="D31" s="95" t="s">
        <v>116</v>
      </c>
      <c r="E31" s="83">
        <v>0</v>
      </c>
      <c r="F31" s="85">
        <v>0</v>
      </c>
      <c r="G31" s="118">
        <f t="shared" si="2"/>
        <v>0</v>
      </c>
      <c r="H31" s="119">
        <f t="shared" si="1"/>
        <v>0</v>
      </c>
      <c r="I31" s="3"/>
      <c r="J31" s="158"/>
      <c r="K31" s="185"/>
      <c r="L31" s="190" t="s">
        <v>85</v>
      </c>
      <c r="M31" s="185"/>
      <c r="N31" s="194"/>
      <c r="O31" s="225" t="s">
        <v>54</v>
      </c>
      <c r="P31" s="226"/>
      <c r="Q31" s="227"/>
      <c r="R31" s="225" t="s">
        <v>70</v>
      </c>
      <c r="S31" s="227"/>
      <c r="T31" s="225" t="s">
        <v>55</v>
      </c>
      <c r="U31" s="226"/>
      <c r="V31" s="227"/>
      <c r="W31" s="225" t="s">
        <v>71</v>
      </c>
      <c r="X31" s="226"/>
      <c r="Y31" s="227"/>
      <c r="Z31" s="22"/>
      <c r="AA31" s="16"/>
      <c r="AB31" s="16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113" t="s">
        <v>81</v>
      </c>
      <c r="B32" s="114"/>
      <c r="C32" s="114"/>
      <c r="D32" s="95" t="s">
        <v>116</v>
      </c>
      <c r="E32" s="83">
        <v>2</v>
      </c>
      <c r="F32" s="85">
        <v>3.85</v>
      </c>
      <c r="G32" s="118">
        <f t="shared" si="2"/>
        <v>7.7</v>
      </c>
      <c r="H32" s="119">
        <f t="shared" si="1"/>
        <v>0.6416666666666667</v>
      </c>
      <c r="I32" s="3"/>
      <c r="J32" s="186" t="s">
        <v>72</v>
      </c>
      <c r="K32" s="187"/>
      <c r="L32" s="191" t="s">
        <v>86</v>
      </c>
      <c r="M32" s="191" t="s">
        <v>73</v>
      </c>
      <c r="N32" s="191" t="s">
        <v>74</v>
      </c>
      <c r="O32" s="195" t="s">
        <v>56</v>
      </c>
      <c r="P32" s="195" t="s">
        <v>57</v>
      </c>
      <c r="Q32" s="195" t="s">
        <v>58</v>
      </c>
      <c r="R32" s="195" t="s">
        <v>61</v>
      </c>
      <c r="S32" s="195" t="s">
        <v>63</v>
      </c>
      <c r="T32" s="195" t="s">
        <v>64</v>
      </c>
      <c r="U32" s="195" t="s">
        <v>98</v>
      </c>
      <c r="V32" s="195" t="s">
        <v>47</v>
      </c>
      <c r="W32" s="195" t="s">
        <v>62</v>
      </c>
      <c r="X32" s="195" t="s">
        <v>75</v>
      </c>
      <c r="Y32" s="195" t="s">
        <v>76</v>
      </c>
      <c r="Z32" s="22"/>
      <c r="AA32" s="16"/>
      <c r="AB32" s="16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113" t="s">
        <v>130</v>
      </c>
      <c r="B33" s="114"/>
      <c r="C33" s="114"/>
      <c r="D33" s="95" t="s">
        <v>19</v>
      </c>
      <c r="E33" s="95">
        <v>1</v>
      </c>
      <c r="F33" s="85">
        <v>0</v>
      </c>
      <c r="G33" s="118">
        <f t="shared" si="2"/>
        <v>0</v>
      </c>
      <c r="H33" s="119">
        <f t="shared" si="1"/>
        <v>0</v>
      </c>
      <c r="I33" s="3"/>
      <c r="J33" s="188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6"/>
      <c r="Z33" s="22"/>
      <c r="AA33" s="16"/>
      <c r="AB33" s="16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113" t="s">
        <v>131</v>
      </c>
      <c r="B34" s="114"/>
      <c r="C34" s="114"/>
      <c r="D34" s="95" t="s">
        <v>19</v>
      </c>
      <c r="E34" s="95">
        <v>1</v>
      </c>
      <c r="F34" s="85">
        <v>0</v>
      </c>
      <c r="G34" s="118">
        <f t="shared" si="2"/>
        <v>0</v>
      </c>
      <c r="H34" s="119">
        <f t="shared" si="1"/>
        <v>0</v>
      </c>
      <c r="I34" s="3"/>
      <c r="J34" s="224" t="s">
        <v>83</v>
      </c>
      <c r="K34" s="224"/>
      <c r="L34" s="70">
        <v>3600</v>
      </c>
      <c r="M34" s="70">
        <v>225</v>
      </c>
      <c r="N34" s="71">
        <v>17</v>
      </c>
      <c r="O34" s="70">
        <v>50000</v>
      </c>
      <c r="P34" s="72">
        <v>12.25</v>
      </c>
      <c r="Q34" s="210">
        <f aca="true" t="shared" si="3" ref="Q34:Q52">+O34*P34/100</f>
        <v>6125</v>
      </c>
      <c r="R34" s="78">
        <v>50</v>
      </c>
      <c r="S34" s="198">
        <f>+Q34*R34/100/L15</f>
        <v>3.4027777777777777</v>
      </c>
      <c r="T34" s="70">
        <v>1250</v>
      </c>
      <c r="U34" s="197">
        <f>+T34*R34/100</f>
        <v>625</v>
      </c>
      <c r="V34" s="198">
        <f>+U34/L15</f>
        <v>0.6944444444444444</v>
      </c>
      <c r="W34" s="199">
        <f>IF(N34=0," ",1/N34)</f>
        <v>0.058823529411764705</v>
      </c>
      <c r="X34" s="198">
        <f aca="true" t="shared" si="4" ref="X34:X52">+M34*0.044</f>
        <v>9.899999999999999</v>
      </c>
      <c r="Y34" s="198">
        <f>IF(W34=" "," ",+X34*W34*1.15*L30)</f>
        <v>1.2054705882352938</v>
      </c>
      <c r="Z34" s="22"/>
      <c r="AA34" s="16"/>
      <c r="AB34" s="16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113" t="s">
        <v>4</v>
      </c>
      <c r="B35" s="114"/>
      <c r="C35" s="114"/>
      <c r="D35" s="95" t="s">
        <v>42</v>
      </c>
      <c r="E35" s="83">
        <v>36</v>
      </c>
      <c r="F35" s="84">
        <v>0.078</v>
      </c>
      <c r="G35" s="118">
        <f t="shared" si="2"/>
        <v>2.808</v>
      </c>
      <c r="H35" s="119">
        <f t="shared" si="1"/>
        <v>0.234</v>
      </c>
      <c r="I35" s="3"/>
      <c r="J35" s="224" t="s">
        <v>83</v>
      </c>
      <c r="K35" s="224"/>
      <c r="L35" s="70">
        <v>3600</v>
      </c>
      <c r="M35" s="70">
        <v>225</v>
      </c>
      <c r="N35" s="71">
        <v>17</v>
      </c>
      <c r="O35" s="70">
        <v>50000</v>
      </c>
      <c r="P35" s="72">
        <v>12.25</v>
      </c>
      <c r="Q35" s="210">
        <f t="shared" si="3"/>
        <v>6125</v>
      </c>
      <c r="R35" s="78">
        <v>50</v>
      </c>
      <c r="S35" s="198">
        <f>+Q35*R35/100/L15</f>
        <v>3.4027777777777777</v>
      </c>
      <c r="T35" s="70">
        <v>1250</v>
      </c>
      <c r="U35" s="197">
        <f>+T35*R35/100</f>
        <v>625</v>
      </c>
      <c r="V35" s="198">
        <f>+U35/L15</f>
        <v>0.6944444444444444</v>
      </c>
      <c r="W35" s="199">
        <f>IF(N35=0," ",1/N35)</f>
        <v>0.058823529411764705</v>
      </c>
      <c r="X35" s="198">
        <f t="shared" si="4"/>
        <v>9.899999999999999</v>
      </c>
      <c r="Y35" s="198">
        <f>IF(W35=" "," ",+X35*W35*1.15*L30)</f>
        <v>1.2054705882352938</v>
      </c>
      <c r="Z35" s="22"/>
      <c r="AA35" s="16"/>
      <c r="AB35" s="16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113" t="s">
        <v>109</v>
      </c>
      <c r="B36" s="114"/>
      <c r="C36" s="114"/>
      <c r="D36" s="95" t="s">
        <v>19</v>
      </c>
      <c r="E36" s="95">
        <v>1</v>
      </c>
      <c r="F36" s="85">
        <v>11.63</v>
      </c>
      <c r="G36" s="118">
        <f t="shared" si="2"/>
        <v>11.63</v>
      </c>
      <c r="H36" s="119">
        <f t="shared" si="1"/>
        <v>0.9691666666666667</v>
      </c>
      <c r="I36" s="3"/>
      <c r="J36" s="73" t="s">
        <v>82</v>
      </c>
      <c r="K36" s="73"/>
      <c r="L36" s="70">
        <v>1800</v>
      </c>
      <c r="M36" s="70">
        <v>225</v>
      </c>
      <c r="N36" s="71">
        <v>11.5</v>
      </c>
      <c r="O36" s="70">
        <v>32000</v>
      </c>
      <c r="P36" s="72">
        <v>12.25</v>
      </c>
      <c r="Q36" s="210">
        <f t="shared" si="3"/>
        <v>3920</v>
      </c>
      <c r="R36" s="78">
        <v>50</v>
      </c>
      <c r="S36" s="198">
        <f>+Q36*R36/100/L15</f>
        <v>2.1777777777777776</v>
      </c>
      <c r="T36" s="70">
        <v>800</v>
      </c>
      <c r="U36" s="197">
        <f>+T36*R36/100</f>
        <v>400</v>
      </c>
      <c r="V36" s="198">
        <f>+U36/L15</f>
        <v>0.4444444444444444</v>
      </c>
      <c r="W36" s="199">
        <f>IF(N36=0," ",1/N36)</f>
        <v>0.08695652173913043</v>
      </c>
      <c r="X36" s="198">
        <f t="shared" si="4"/>
        <v>9.899999999999999</v>
      </c>
      <c r="Y36" s="198">
        <f>IF(W36=" "," ",+X36*W36*1.15*L30)</f>
        <v>1.7819999999999994</v>
      </c>
      <c r="Z36" s="22"/>
      <c r="AA36" s="16"/>
      <c r="AB36" s="16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113" t="s">
        <v>33</v>
      </c>
      <c r="B37" s="99"/>
      <c r="C37" s="99"/>
      <c r="D37" s="95" t="s">
        <v>116</v>
      </c>
      <c r="E37" s="83">
        <v>8</v>
      </c>
      <c r="F37" s="85">
        <v>8</v>
      </c>
      <c r="G37" s="118">
        <f t="shared" si="2"/>
        <v>64</v>
      </c>
      <c r="H37" s="119">
        <f t="shared" si="1"/>
        <v>5.333333333333334</v>
      </c>
      <c r="I37" s="3"/>
      <c r="J37" s="70" t="s">
        <v>135</v>
      </c>
      <c r="K37" s="74"/>
      <c r="L37" s="70">
        <v>9800</v>
      </c>
      <c r="M37" s="70">
        <v>175</v>
      </c>
      <c r="N37" s="70">
        <v>38.5</v>
      </c>
      <c r="O37" s="74"/>
      <c r="P37" s="74"/>
      <c r="Q37" s="210">
        <f t="shared" si="3"/>
        <v>0</v>
      </c>
      <c r="R37" s="74"/>
      <c r="S37" s="198">
        <f>+Q37*R37/100/L15</f>
        <v>0</v>
      </c>
      <c r="T37" s="74"/>
      <c r="U37" s="152"/>
      <c r="V37" s="152"/>
      <c r="W37" s="199">
        <f>1/N37</f>
        <v>0.025974025974025976</v>
      </c>
      <c r="X37" s="198">
        <f t="shared" si="4"/>
        <v>7.699999999999999</v>
      </c>
      <c r="Y37" s="198">
        <f>IF(W37=" "," ",+X37*W37*1.15*L30)</f>
        <v>0.4139999999999999</v>
      </c>
      <c r="Z37" s="22"/>
      <c r="AA37" s="16"/>
      <c r="AB37" s="16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113" t="s">
        <v>6</v>
      </c>
      <c r="B38" s="114"/>
      <c r="C38" s="114"/>
      <c r="D38" s="95"/>
      <c r="E38" s="95"/>
      <c r="F38" s="95"/>
      <c r="G38" s="95"/>
      <c r="H38" s="119"/>
      <c r="I38" s="3"/>
      <c r="J38" s="73" t="s">
        <v>106</v>
      </c>
      <c r="K38" s="73"/>
      <c r="L38" s="70">
        <v>1800</v>
      </c>
      <c r="M38" s="70">
        <v>185</v>
      </c>
      <c r="N38" s="71">
        <v>11.5</v>
      </c>
      <c r="O38" s="70">
        <v>40000</v>
      </c>
      <c r="P38" s="72">
        <v>12.25</v>
      </c>
      <c r="Q38" s="210">
        <f t="shared" si="3"/>
        <v>4900</v>
      </c>
      <c r="R38" s="78">
        <v>50</v>
      </c>
      <c r="S38" s="198">
        <f>+Q38*R38/100/L15</f>
        <v>2.7222222222222223</v>
      </c>
      <c r="T38" s="70">
        <v>1100</v>
      </c>
      <c r="U38" s="197">
        <f aca="true" t="shared" si="5" ref="U38:U52">+T38*R38/100</f>
        <v>550</v>
      </c>
      <c r="V38" s="198">
        <f>+U38/L15</f>
        <v>0.6111111111111112</v>
      </c>
      <c r="W38" s="199">
        <f aca="true" t="shared" si="6" ref="W38:W52">IF(N38=0," ",1/N38)</f>
        <v>0.08695652173913043</v>
      </c>
      <c r="X38" s="198">
        <f t="shared" si="4"/>
        <v>8.139999999999999</v>
      </c>
      <c r="Y38" s="198">
        <f>IF(W38=" "," ",+X38*W38*1.15*L30)</f>
        <v>1.4651999999999998</v>
      </c>
      <c r="Z38" s="22"/>
      <c r="AA38" s="16"/>
      <c r="AB38" s="16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113" t="s">
        <v>7</v>
      </c>
      <c r="B39" s="114"/>
      <c r="C39" s="114"/>
      <c r="D39" s="95" t="s">
        <v>22</v>
      </c>
      <c r="E39" s="118">
        <f>+Y54/L30</f>
        <v>13.051827070211019</v>
      </c>
      <c r="F39" s="85">
        <v>1.8</v>
      </c>
      <c r="G39" s="118">
        <f>+E39*F39</f>
        <v>23.493288726379834</v>
      </c>
      <c r="H39" s="119">
        <f aca="true" t="shared" si="7" ref="H39:H44">+G39/$E$8*100</f>
        <v>1.957774060531653</v>
      </c>
      <c r="I39" s="3"/>
      <c r="J39" s="73" t="s">
        <v>113</v>
      </c>
      <c r="K39" s="73"/>
      <c r="L39" s="70">
        <v>9800</v>
      </c>
      <c r="M39" s="70">
        <v>175</v>
      </c>
      <c r="N39" s="71">
        <v>38.5</v>
      </c>
      <c r="O39" s="70"/>
      <c r="P39" s="72"/>
      <c r="Q39" s="210">
        <f t="shared" si="3"/>
        <v>0</v>
      </c>
      <c r="R39" s="78"/>
      <c r="S39" s="198">
        <f>+Q39*R39/100/L15</f>
        <v>0</v>
      </c>
      <c r="T39" s="70"/>
      <c r="U39" s="197">
        <f t="shared" si="5"/>
        <v>0</v>
      </c>
      <c r="V39" s="198">
        <f>+U39/L15</f>
        <v>0</v>
      </c>
      <c r="W39" s="199">
        <f t="shared" si="6"/>
        <v>0.025974025974025976</v>
      </c>
      <c r="X39" s="198">
        <f t="shared" si="4"/>
        <v>7.699999999999999</v>
      </c>
      <c r="Y39" s="198">
        <f>IF(W39=" "," ",+X39*W39*1.15*L30)</f>
        <v>0.4139999999999999</v>
      </c>
      <c r="Z39" s="22"/>
      <c r="AA39" s="16"/>
      <c r="AB39" s="16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113" t="s">
        <v>8</v>
      </c>
      <c r="B40" s="114"/>
      <c r="C40" s="114"/>
      <c r="D40" s="95" t="s">
        <v>19</v>
      </c>
      <c r="E40" s="95">
        <v>1</v>
      </c>
      <c r="F40" s="122">
        <f>+V54+W27</f>
        <v>31.003333333333334</v>
      </c>
      <c r="G40" s="118">
        <f>+E40*F40</f>
        <v>31.003333333333334</v>
      </c>
      <c r="H40" s="119">
        <f t="shared" si="7"/>
        <v>2.5836111111111113</v>
      </c>
      <c r="I40" s="3"/>
      <c r="J40" s="73" t="s">
        <v>114</v>
      </c>
      <c r="K40" s="73"/>
      <c r="L40" s="70">
        <v>9800</v>
      </c>
      <c r="M40" s="70">
        <v>175</v>
      </c>
      <c r="N40" s="71">
        <v>38.5</v>
      </c>
      <c r="O40" s="74"/>
      <c r="P40" s="75"/>
      <c r="Q40" s="210">
        <f t="shared" si="3"/>
        <v>0</v>
      </c>
      <c r="R40" s="78"/>
      <c r="S40" s="198">
        <f>+Q40*R40/100/L15</f>
        <v>0</v>
      </c>
      <c r="T40" s="70"/>
      <c r="U40" s="197">
        <f t="shared" si="5"/>
        <v>0</v>
      </c>
      <c r="V40" s="198">
        <f>+U40/L15</f>
        <v>0</v>
      </c>
      <c r="W40" s="199">
        <f t="shared" si="6"/>
        <v>0.025974025974025976</v>
      </c>
      <c r="X40" s="198">
        <f t="shared" si="4"/>
        <v>7.699999999999999</v>
      </c>
      <c r="Y40" s="198">
        <f>IF(W40=" "," ",+X40*W40*1.15*L30)</f>
        <v>0.4139999999999999</v>
      </c>
      <c r="Z40" s="22"/>
      <c r="AA40" s="16"/>
      <c r="AB40" s="16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113" t="s">
        <v>108</v>
      </c>
      <c r="B41" s="114"/>
      <c r="C41" s="114"/>
      <c r="D41" s="95" t="s">
        <v>116</v>
      </c>
      <c r="E41" s="83">
        <v>0</v>
      </c>
      <c r="F41" s="85">
        <v>0</v>
      </c>
      <c r="G41" s="118">
        <f>+E41*F41</f>
        <v>0</v>
      </c>
      <c r="H41" s="119">
        <f t="shared" si="7"/>
        <v>0</v>
      </c>
      <c r="I41" s="3"/>
      <c r="J41" s="236" t="s">
        <v>142</v>
      </c>
      <c r="K41" s="237"/>
      <c r="L41" s="70">
        <v>1300</v>
      </c>
      <c r="M41" s="70">
        <v>185</v>
      </c>
      <c r="N41" s="71">
        <v>12</v>
      </c>
      <c r="O41" s="70">
        <v>17000</v>
      </c>
      <c r="P41" s="72">
        <v>12.25</v>
      </c>
      <c r="Q41" s="210">
        <f t="shared" si="3"/>
        <v>2082.5</v>
      </c>
      <c r="R41" s="78">
        <v>70</v>
      </c>
      <c r="S41" s="198">
        <f>+Q41*R41/100/L15</f>
        <v>1.6197222222222223</v>
      </c>
      <c r="T41" s="70">
        <v>425</v>
      </c>
      <c r="U41" s="197">
        <f t="shared" si="5"/>
        <v>297.5</v>
      </c>
      <c r="V41" s="198">
        <f>+U41/L15</f>
        <v>0.33055555555555555</v>
      </c>
      <c r="W41" s="199">
        <f t="shared" si="6"/>
        <v>0.08333333333333333</v>
      </c>
      <c r="X41" s="198">
        <f t="shared" si="4"/>
        <v>8.139999999999999</v>
      </c>
      <c r="Y41" s="198">
        <f>IF(W41=" "," ",+X41*W41*1.15*L30)</f>
        <v>1.4041499999999996</v>
      </c>
      <c r="Z41" s="22"/>
      <c r="AA41" s="16"/>
      <c r="AB41" s="16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113" t="s">
        <v>9</v>
      </c>
      <c r="B42" s="95"/>
      <c r="C42" s="95"/>
      <c r="D42" s="95" t="s">
        <v>19</v>
      </c>
      <c r="E42" s="95">
        <v>1</v>
      </c>
      <c r="F42" s="85">
        <v>0</v>
      </c>
      <c r="G42" s="118">
        <f>+E42*F42</f>
        <v>0</v>
      </c>
      <c r="H42" s="119">
        <f t="shared" si="7"/>
        <v>0</v>
      </c>
      <c r="I42" s="3"/>
      <c r="J42" s="73" t="s">
        <v>115</v>
      </c>
      <c r="K42" s="73"/>
      <c r="L42" s="70">
        <v>1300</v>
      </c>
      <c r="M42" s="70">
        <v>185</v>
      </c>
      <c r="N42" s="71">
        <v>12</v>
      </c>
      <c r="O42" s="70">
        <v>12500</v>
      </c>
      <c r="P42" s="72">
        <v>12.25</v>
      </c>
      <c r="Q42" s="210">
        <f t="shared" si="3"/>
        <v>1531.25</v>
      </c>
      <c r="R42" s="70">
        <v>70</v>
      </c>
      <c r="S42" s="198">
        <f>+Q42*R40/100/L15</f>
        <v>0</v>
      </c>
      <c r="T42" s="70">
        <v>315</v>
      </c>
      <c r="U42" s="197">
        <f t="shared" si="5"/>
        <v>220.5</v>
      </c>
      <c r="V42" s="198">
        <f>+U42/L15</f>
        <v>0.245</v>
      </c>
      <c r="W42" s="199">
        <f t="shared" si="6"/>
        <v>0.08333333333333333</v>
      </c>
      <c r="X42" s="198">
        <f t="shared" si="4"/>
        <v>8.139999999999999</v>
      </c>
      <c r="Y42" s="198">
        <f>IF(W42=" "," ",+X42*W42*1.15*L30)</f>
        <v>1.4041499999999996</v>
      </c>
      <c r="Z42" s="23"/>
      <c r="AA42" s="17"/>
      <c r="AB42" s="17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113" t="s">
        <v>110</v>
      </c>
      <c r="B43" s="95" t="s">
        <v>80</v>
      </c>
      <c r="C43" s="85">
        <v>1.65</v>
      </c>
      <c r="D43" s="95" t="s">
        <v>23</v>
      </c>
      <c r="E43" s="118">
        <f>+W54*C43</f>
        <v>2.083206655186338</v>
      </c>
      <c r="F43" s="85">
        <v>12.5</v>
      </c>
      <c r="G43" s="118">
        <f>+E43*F43</f>
        <v>26.04008318982923</v>
      </c>
      <c r="H43" s="119">
        <f t="shared" si="7"/>
        <v>2.1700069324857694</v>
      </c>
      <c r="I43" s="3"/>
      <c r="J43" s="73" t="s">
        <v>91</v>
      </c>
      <c r="K43" s="73"/>
      <c r="L43" s="70">
        <v>9800</v>
      </c>
      <c r="M43" s="70">
        <v>175</v>
      </c>
      <c r="N43" s="71">
        <v>38.5</v>
      </c>
      <c r="O43" s="74"/>
      <c r="P43" s="75"/>
      <c r="Q43" s="210">
        <f t="shared" si="3"/>
        <v>0</v>
      </c>
      <c r="R43" s="78"/>
      <c r="S43" s="198">
        <f>+Q43*R43/100/L15</f>
        <v>0</v>
      </c>
      <c r="T43" s="70"/>
      <c r="U43" s="197">
        <f t="shared" si="5"/>
        <v>0</v>
      </c>
      <c r="V43" s="198">
        <f>+U43/L15</f>
        <v>0</v>
      </c>
      <c r="W43" s="199">
        <f t="shared" si="6"/>
        <v>0.025974025974025976</v>
      </c>
      <c r="X43" s="198">
        <f t="shared" si="4"/>
        <v>7.699999999999999</v>
      </c>
      <c r="Y43" s="198">
        <f>IF(W43=" "," ",+X43*W43*1.15*L30)</f>
        <v>0.4139999999999999</v>
      </c>
      <c r="Z43" s="24"/>
      <c r="AA43" s="18"/>
      <c r="AB43" s="18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113" t="s">
        <v>50</v>
      </c>
      <c r="B44" s="95" t="s">
        <v>51</v>
      </c>
      <c r="C44" s="83">
        <v>6</v>
      </c>
      <c r="D44" s="133">
        <f>SUM(G11:G43)</f>
        <v>492.94949075429236</v>
      </c>
      <c r="E44" s="118">
        <f>+C44/12</f>
        <v>0.5</v>
      </c>
      <c r="F44" s="86">
        <v>0.065</v>
      </c>
      <c r="G44" s="118">
        <f>+D44*F44*E44</f>
        <v>16.020858449514503</v>
      </c>
      <c r="H44" s="119">
        <f t="shared" si="7"/>
        <v>1.3350715374595419</v>
      </c>
      <c r="I44" s="3"/>
      <c r="J44" s="73" t="s">
        <v>117</v>
      </c>
      <c r="K44" s="73"/>
      <c r="L44" s="70">
        <v>9800</v>
      </c>
      <c r="M44" s="70">
        <v>175</v>
      </c>
      <c r="N44" s="71">
        <v>38.5</v>
      </c>
      <c r="O44" s="70"/>
      <c r="P44" s="72"/>
      <c r="Q44" s="210">
        <f t="shared" si="3"/>
        <v>0</v>
      </c>
      <c r="R44" s="78"/>
      <c r="S44" s="198">
        <f>+Q44*R44/100/L15</f>
        <v>0</v>
      </c>
      <c r="T44" s="70"/>
      <c r="U44" s="197">
        <f t="shared" si="5"/>
        <v>0</v>
      </c>
      <c r="V44" s="198">
        <f>+U44/L15</f>
        <v>0</v>
      </c>
      <c r="W44" s="199">
        <f t="shared" si="6"/>
        <v>0.025974025974025976</v>
      </c>
      <c r="X44" s="198">
        <f t="shared" si="4"/>
        <v>7.699999999999999</v>
      </c>
      <c r="Y44" s="198">
        <f>IF(W44=" "," ",+X44*W44*1.15*L30)</f>
        <v>0.4139999999999999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113" t="s">
        <v>10</v>
      </c>
      <c r="B45" s="95"/>
      <c r="C45" s="95"/>
      <c r="D45" s="95"/>
      <c r="E45" s="95"/>
      <c r="F45" s="95"/>
      <c r="G45" s="118"/>
      <c r="H45" s="119"/>
      <c r="I45" s="3"/>
      <c r="J45" s="73" t="s">
        <v>117</v>
      </c>
      <c r="K45" s="73"/>
      <c r="L45" s="70">
        <v>9800</v>
      </c>
      <c r="M45" s="70">
        <v>175</v>
      </c>
      <c r="N45" s="71">
        <v>38.5</v>
      </c>
      <c r="O45" s="70"/>
      <c r="P45" s="72"/>
      <c r="Q45" s="210">
        <f t="shared" si="3"/>
        <v>0</v>
      </c>
      <c r="R45" s="78"/>
      <c r="S45" s="198">
        <f>+Q45*R45/100/L15</f>
        <v>0</v>
      </c>
      <c r="T45" s="70"/>
      <c r="U45" s="197">
        <f t="shared" si="5"/>
        <v>0</v>
      </c>
      <c r="V45" s="198">
        <f>+U45/L15</f>
        <v>0</v>
      </c>
      <c r="W45" s="199">
        <f t="shared" si="6"/>
        <v>0.025974025974025976</v>
      </c>
      <c r="X45" s="198">
        <f t="shared" si="4"/>
        <v>7.699999999999999</v>
      </c>
      <c r="Y45" s="198">
        <f>IF(W45=" "," ",+X45*W45*1.15*L30)</f>
        <v>0.4139999999999999</v>
      </c>
      <c r="Z45" s="14"/>
      <c r="AA45" s="14"/>
      <c r="AB45" s="14"/>
      <c r="AC45" s="15"/>
      <c r="AD45" s="19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113" t="s">
        <v>11</v>
      </c>
      <c r="B46" s="95"/>
      <c r="C46" s="95"/>
      <c r="D46" s="95" t="s">
        <v>21</v>
      </c>
      <c r="E46" s="95">
        <f>+E8</f>
        <v>1200</v>
      </c>
      <c r="F46" s="84">
        <v>0.08</v>
      </c>
      <c r="G46" s="118">
        <f>+E46*F46</f>
        <v>96</v>
      </c>
      <c r="H46" s="119">
        <f>+G46/$E$8*100</f>
        <v>8</v>
      </c>
      <c r="I46" s="59"/>
      <c r="J46" s="73" t="s">
        <v>92</v>
      </c>
      <c r="K46" s="73"/>
      <c r="L46" s="70">
        <v>9800</v>
      </c>
      <c r="M46" s="70">
        <v>175</v>
      </c>
      <c r="N46" s="71">
        <v>38.5</v>
      </c>
      <c r="O46" s="70"/>
      <c r="P46" s="72"/>
      <c r="Q46" s="210">
        <f t="shared" si="3"/>
        <v>0</v>
      </c>
      <c r="R46" s="78"/>
      <c r="S46" s="198">
        <f>+Q46*R46/100/L15</f>
        <v>0</v>
      </c>
      <c r="T46" s="70"/>
      <c r="U46" s="197">
        <f t="shared" si="5"/>
        <v>0</v>
      </c>
      <c r="V46" s="198">
        <f>+U46/L15</f>
        <v>0</v>
      </c>
      <c r="W46" s="199">
        <f t="shared" si="6"/>
        <v>0.025974025974025976</v>
      </c>
      <c r="X46" s="198">
        <f t="shared" si="4"/>
        <v>7.699999999999999</v>
      </c>
      <c r="Y46" s="198">
        <f>IF(W46=" "," ",+X46*W46*1.15*L30)</f>
        <v>0.4139999999999999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113" t="s">
        <v>140</v>
      </c>
      <c r="B47" s="99"/>
      <c r="C47" s="99"/>
      <c r="D47" s="134" t="s">
        <v>24</v>
      </c>
      <c r="E47" s="123">
        <f>+E46/495</f>
        <v>2.4242424242424243</v>
      </c>
      <c r="F47" s="88">
        <v>0</v>
      </c>
      <c r="G47" s="123">
        <f>+E47*F47</f>
        <v>0</v>
      </c>
      <c r="H47" s="124">
        <f>+G47/E8*100</f>
        <v>0</v>
      </c>
      <c r="I47" s="3"/>
      <c r="J47" s="76"/>
      <c r="K47" s="77"/>
      <c r="L47" s="74"/>
      <c r="M47" s="67"/>
      <c r="N47" s="67"/>
      <c r="O47" s="67"/>
      <c r="P47" s="68"/>
      <c r="Q47" s="210">
        <f t="shared" si="3"/>
        <v>0</v>
      </c>
      <c r="R47" s="67"/>
      <c r="S47" s="198">
        <f>+Q47*R47/100/L15</f>
        <v>0</v>
      </c>
      <c r="T47" s="67"/>
      <c r="U47" s="197">
        <f t="shared" si="5"/>
        <v>0</v>
      </c>
      <c r="V47" s="198">
        <f>+U47/L15</f>
        <v>0</v>
      </c>
      <c r="W47" s="199" t="str">
        <f t="shared" si="6"/>
        <v> </v>
      </c>
      <c r="X47" s="198">
        <f t="shared" si="4"/>
        <v>0</v>
      </c>
      <c r="Y47" s="198" t="str">
        <f>IF(W47=" "," ",+X47*W47*1.15*L30)</f>
        <v> </v>
      </c>
      <c r="Z47" s="14"/>
      <c r="AA47" s="14"/>
      <c r="AB47" s="14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113" t="s">
        <v>12</v>
      </c>
      <c r="B48" s="95"/>
      <c r="C48" s="95"/>
      <c r="D48" s="95" t="s">
        <v>24</v>
      </c>
      <c r="E48" s="118">
        <f>+E46/495</f>
        <v>2.4242424242424243</v>
      </c>
      <c r="F48" s="85">
        <v>10.5</v>
      </c>
      <c r="G48" s="118">
        <f>+E48*F48</f>
        <v>25.454545454545457</v>
      </c>
      <c r="H48" s="119">
        <f>+G48/$E$8*100</f>
        <v>2.1212121212121215</v>
      </c>
      <c r="I48" s="3"/>
      <c r="J48" s="188" t="s">
        <v>134</v>
      </c>
      <c r="K48" s="196"/>
      <c r="L48" s="211">
        <v>900</v>
      </c>
      <c r="M48" s="70">
        <v>350</v>
      </c>
      <c r="N48" s="72">
        <v>5.8</v>
      </c>
      <c r="O48" s="211"/>
      <c r="P48" s="198"/>
      <c r="Q48" s="211">
        <f t="shared" si="3"/>
        <v>0</v>
      </c>
      <c r="R48" s="210"/>
      <c r="S48" s="198">
        <f>+Q48*R48/100/L15</f>
        <v>0</v>
      </c>
      <c r="T48" s="211"/>
      <c r="U48" s="197">
        <f t="shared" si="5"/>
        <v>0</v>
      </c>
      <c r="V48" s="198">
        <f>+U48/L15</f>
        <v>0</v>
      </c>
      <c r="W48" s="199">
        <f t="shared" si="6"/>
        <v>0.1724137931034483</v>
      </c>
      <c r="X48" s="198">
        <f t="shared" si="4"/>
        <v>15.399999999999999</v>
      </c>
      <c r="Y48" s="198">
        <f>IF(W48=" "," ",+X48*W48*1.15*L30)</f>
        <v>5.496206896551723</v>
      </c>
      <c r="Z48" s="14"/>
      <c r="AA48" s="14"/>
      <c r="AB48" s="14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13" t="s">
        <v>13</v>
      </c>
      <c r="B49" s="95"/>
      <c r="C49" s="95"/>
      <c r="D49" s="95" t="s">
        <v>24</v>
      </c>
      <c r="E49" s="118">
        <f>+E46/495</f>
        <v>2.4242424242424243</v>
      </c>
      <c r="F49" s="118">
        <f>4.15+0.005*495*F8</f>
        <v>5.8825</v>
      </c>
      <c r="G49" s="118">
        <f>+E49*F49</f>
        <v>14.260606060606062</v>
      </c>
      <c r="H49" s="119">
        <f>+G49/$E$8*100</f>
        <v>1.1883838383838385</v>
      </c>
      <c r="I49" s="3"/>
      <c r="J49" s="188" t="s">
        <v>77</v>
      </c>
      <c r="K49" s="196"/>
      <c r="L49" s="211">
        <v>900</v>
      </c>
      <c r="M49" s="70">
        <v>185</v>
      </c>
      <c r="N49" s="72">
        <f>+N48</f>
        <v>5.8</v>
      </c>
      <c r="O49" s="70">
        <v>30000</v>
      </c>
      <c r="P49" s="72">
        <v>12.25</v>
      </c>
      <c r="Q49" s="210">
        <f t="shared" si="3"/>
        <v>3675</v>
      </c>
      <c r="R49" s="210">
        <v>100</v>
      </c>
      <c r="S49" s="198">
        <f>+Q49*R49/100/L15</f>
        <v>4.083333333333333</v>
      </c>
      <c r="T49" s="70">
        <v>800</v>
      </c>
      <c r="U49" s="197">
        <f t="shared" si="5"/>
        <v>800</v>
      </c>
      <c r="V49" s="198">
        <f>+U49/L15</f>
        <v>0.8888888888888888</v>
      </c>
      <c r="W49" s="199">
        <f t="shared" si="6"/>
        <v>0.1724137931034483</v>
      </c>
      <c r="X49" s="198">
        <f t="shared" si="4"/>
        <v>8.139999999999999</v>
      </c>
      <c r="Y49" s="198">
        <f>IF(W49=" "," ",+X49*W49*1.15*L30)</f>
        <v>2.9051379310344823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113" t="s">
        <v>137</v>
      </c>
      <c r="B50" s="95" t="s">
        <v>139</v>
      </c>
      <c r="C50" s="87">
        <v>0.4</v>
      </c>
      <c r="D50" s="95" t="s">
        <v>20</v>
      </c>
      <c r="E50" s="118">
        <f>+(((1-C50)-0.1)/C50)*E8/2000</f>
        <v>0.75</v>
      </c>
      <c r="F50" s="85">
        <v>195</v>
      </c>
      <c r="G50" s="118">
        <f>-E50*F50</f>
        <v>-146.25</v>
      </c>
      <c r="H50" s="119">
        <f>+G50/$E$8*100</f>
        <v>-12.1875</v>
      </c>
      <c r="I50" s="3"/>
      <c r="J50" s="211" t="s">
        <v>136</v>
      </c>
      <c r="K50" s="211"/>
      <c r="L50" s="211">
        <v>900</v>
      </c>
      <c r="M50" s="70">
        <v>100</v>
      </c>
      <c r="N50" s="72">
        <f>+N48</f>
        <v>5.8</v>
      </c>
      <c r="O50" s="70">
        <v>34000</v>
      </c>
      <c r="P50" s="72">
        <v>12.25</v>
      </c>
      <c r="Q50" s="210">
        <f t="shared" si="3"/>
        <v>4165</v>
      </c>
      <c r="R50" s="210">
        <v>100</v>
      </c>
      <c r="S50" s="198">
        <f>+Q50*R50/100/L15</f>
        <v>4.627777777777778</v>
      </c>
      <c r="T50" s="70">
        <v>950</v>
      </c>
      <c r="U50" s="197">
        <f t="shared" si="5"/>
        <v>950</v>
      </c>
      <c r="V50" s="198">
        <f>+U50/L15</f>
        <v>1.0555555555555556</v>
      </c>
      <c r="W50" s="199">
        <f t="shared" si="6"/>
        <v>0.1724137931034483</v>
      </c>
      <c r="X50" s="198">
        <f t="shared" si="4"/>
        <v>4.3999999999999995</v>
      </c>
      <c r="Y50" s="198">
        <f>IF(W50=" "," ",+X50*W50*1.15*L30)</f>
        <v>1.5703448275862066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129" t="s">
        <v>5</v>
      </c>
      <c r="B51" s="103"/>
      <c r="C51" s="103"/>
      <c r="D51" s="135" t="s">
        <v>24</v>
      </c>
      <c r="E51" s="125">
        <f>+E8/495</f>
        <v>2.4242424242424243</v>
      </c>
      <c r="F51" s="85">
        <v>0.75</v>
      </c>
      <c r="G51" s="125">
        <f>+E51*F51</f>
        <v>1.8181818181818183</v>
      </c>
      <c r="H51" s="126">
        <f>+G51/$E$8*100</f>
        <v>0.15151515151515155</v>
      </c>
      <c r="I51" s="3"/>
      <c r="J51" s="73" t="s">
        <v>105</v>
      </c>
      <c r="K51" s="73"/>
      <c r="L51" s="70">
        <v>900</v>
      </c>
      <c r="M51" s="70">
        <v>225</v>
      </c>
      <c r="N51" s="71">
        <v>9.5</v>
      </c>
      <c r="O51" s="70">
        <v>36000</v>
      </c>
      <c r="P51" s="72">
        <v>12.25</v>
      </c>
      <c r="Q51" s="210">
        <f t="shared" si="3"/>
        <v>4410</v>
      </c>
      <c r="R51" s="78">
        <v>100</v>
      </c>
      <c r="S51" s="198">
        <f>+Q51*R51/100/L15</f>
        <v>4.9</v>
      </c>
      <c r="T51" s="70">
        <v>1000</v>
      </c>
      <c r="U51" s="197">
        <f t="shared" si="5"/>
        <v>1000</v>
      </c>
      <c r="V51" s="198">
        <f>+U51/L15</f>
        <v>1.1111111111111112</v>
      </c>
      <c r="W51" s="199">
        <f t="shared" si="6"/>
        <v>0.10526315789473684</v>
      </c>
      <c r="X51" s="198">
        <f t="shared" si="4"/>
        <v>9.899999999999999</v>
      </c>
      <c r="Y51" s="198">
        <f>IF(W51=" "," ",+X51*W51*1.15*L30)</f>
        <v>2.1571578947368413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130" t="s">
        <v>14</v>
      </c>
      <c r="B52" s="131"/>
      <c r="C52" s="131"/>
      <c r="D52" s="136"/>
      <c r="E52" s="136"/>
      <c r="F52" s="136"/>
      <c r="G52" s="127">
        <f>SUM(G11:G51)</f>
        <v>500.25368253714015</v>
      </c>
      <c r="H52" s="128">
        <f>SUM(H11:H51)</f>
        <v>41.68780687809502</v>
      </c>
      <c r="I52" s="3"/>
      <c r="J52" s="79"/>
      <c r="K52" s="80"/>
      <c r="L52" s="70"/>
      <c r="M52" s="70"/>
      <c r="N52" s="71"/>
      <c r="O52" s="70"/>
      <c r="P52" s="70"/>
      <c r="Q52" s="211">
        <f t="shared" si="3"/>
        <v>0</v>
      </c>
      <c r="R52" s="91"/>
      <c r="S52" s="198">
        <f>+Q52*R52/100/L15</f>
        <v>0</v>
      </c>
      <c r="T52" s="70"/>
      <c r="U52" s="197">
        <f t="shared" si="5"/>
        <v>0</v>
      </c>
      <c r="V52" s="198">
        <f>+U52/L15</f>
        <v>0</v>
      </c>
      <c r="W52" s="199" t="str">
        <f t="shared" si="6"/>
        <v> </v>
      </c>
      <c r="X52" s="198">
        <f t="shared" si="4"/>
        <v>0</v>
      </c>
      <c r="Y52" s="198" t="str">
        <f>IF(W52=" "," ",+X52*W52*1.15*L30)</f>
        <v> 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130" t="s">
        <v>25</v>
      </c>
      <c r="B53" s="132"/>
      <c r="C53" s="132"/>
      <c r="D53" s="137"/>
      <c r="E53" s="137"/>
      <c r="F53" s="137"/>
      <c r="G53" s="127">
        <f>+G8-G52</f>
        <v>339.74631746285985</v>
      </c>
      <c r="H53" s="138">
        <f>+H8-H52</f>
        <v>28.312193121904983</v>
      </c>
      <c r="I53" s="3"/>
      <c r="J53" s="188"/>
      <c r="K53" s="189"/>
      <c r="L53" s="189"/>
      <c r="M53" s="189"/>
      <c r="N53" s="203"/>
      <c r="O53" s="189"/>
      <c r="P53" s="189"/>
      <c r="Q53" s="189"/>
      <c r="R53" s="212"/>
      <c r="S53" s="201"/>
      <c r="T53" s="189"/>
      <c r="U53" s="200"/>
      <c r="V53" s="201"/>
      <c r="W53" s="202"/>
      <c r="X53" s="203"/>
      <c r="Y53" s="20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98"/>
      <c r="B54" s="99"/>
      <c r="C54" s="99"/>
      <c r="D54" s="99"/>
      <c r="E54" s="99"/>
      <c r="F54" s="99"/>
      <c r="G54" s="99"/>
      <c r="H54" s="108"/>
      <c r="I54" s="3"/>
      <c r="J54" s="213" t="s">
        <v>68</v>
      </c>
      <c r="K54" s="208"/>
      <c r="L54" s="208"/>
      <c r="M54" s="208"/>
      <c r="N54" s="208"/>
      <c r="O54" s="208"/>
      <c r="P54" s="208"/>
      <c r="Q54" s="208"/>
      <c r="R54" s="205">
        <f>+R34/100*Q34+R35/100*Q35+R36/100*Q36+R39/100*Q39+R38/100*Q38+R40/100*Q40+R41/100*Q41+R42/100*Q42+R43/100*Q43+R44/100*Q44+R45/100*Q45+R46/100*Q46+R47/100*Q47+R48/100*Q48+R49/100*Q49+R50/100*Q50+R51/100*Q51+R52/100*Q52</f>
        <v>25314.625</v>
      </c>
      <c r="S54" s="206">
        <f>SUM(S33:S53)</f>
        <v>26.936388888888885</v>
      </c>
      <c r="T54" s="205">
        <f>SUM(T33:T53)</f>
        <v>7890</v>
      </c>
      <c r="U54" s="205">
        <f>SUM(U33:U53)</f>
        <v>5468</v>
      </c>
      <c r="V54" s="206">
        <f>SUM(V33:V53)</f>
        <v>6.075555555555557</v>
      </c>
      <c r="W54" s="207">
        <f>SUM(W33:W53)</f>
        <v>1.2625494879917203</v>
      </c>
      <c r="X54" s="208"/>
      <c r="Y54" s="209">
        <f>SUM(Y33:Y53)</f>
        <v>23.493288726379834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113" t="s">
        <v>26</v>
      </c>
      <c r="B55" s="114"/>
      <c r="C55" s="114"/>
      <c r="D55" s="95" t="s">
        <v>19</v>
      </c>
      <c r="E55" s="95">
        <v>1</v>
      </c>
      <c r="F55" s="118">
        <f>SUM(T19:T23)</f>
        <v>51.410605555555556</v>
      </c>
      <c r="G55" s="118">
        <f>+E55*F55</f>
        <v>51.410605555555556</v>
      </c>
      <c r="H55" s="119">
        <f>+G55/$E$8*100</f>
        <v>4.28421712962963</v>
      </c>
      <c r="I55" s="3"/>
      <c r="J55" s="53" t="s">
        <v>118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113" t="s">
        <v>34</v>
      </c>
      <c r="B56" s="114"/>
      <c r="C56" s="114"/>
      <c r="D56" s="95" t="s">
        <v>19</v>
      </c>
      <c r="E56" s="95">
        <v>1</v>
      </c>
      <c r="F56" s="118">
        <f>SUM(S34:S52)-S48-S49-S50-S52</f>
        <v>18.225277777777777</v>
      </c>
      <c r="G56" s="118">
        <f>+E56*F56</f>
        <v>18.225277777777777</v>
      </c>
      <c r="H56" s="119">
        <f>+G56/$E$8*100</f>
        <v>1.5187731481481481</v>
      </c>
      <c r="I56" s="3"/>
      <c r="J56" s="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46"/>
      <c r="Y56" s="4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139" t="s">
        <v>33</v>
      </c>
      <c r="B57" s="99"/>
      <c r="C57" s="99"/>
      <c r="D57" s="134" t="s">
        <v>19</v>
      </c>
      <c r="E57" s="99">
        <v>1</v>
      </c>
      <c r="F57" s="123">
        <v>125</v>
      </c>
      <c r="G57" s="123">
        <f>+F57*E57</f>
        <v>125</v>
      </c>
      <c r="H57" s="124">
        <f>+G57/E8*100</f>
        <v>10.416666666666668</v>
      </c>
      <c r="I57" s="3"/>
      <c r="J57" s="55" t="s">
        <v>94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144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13" t="s">
        <v>79</v>
      </c>
      <c r="B58" s="114"/>
      <c r="C58" s="114"/>
      <c r="D58" s="95" t="s">
        <v>19</v>
      </c>
      <c r="E58" s="95">
        <v>1</v>
      </c>
      <c r="F58" s="118">
        <f>+T25+S49+S50</f>
        <v>80.06277777777778</v>
      </c>
      <c r="G58" s="118">
        <f>+E58*F58</f>
        <v>80.06277777777778</v>
      </c>
      <c r="H58" s="119">
        <f>+G58/$E$8*100</f>
        <v>6.671898148148149</v>
      </c>
      <c r="I58" s="3"/>
      <c r="J58" s="3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7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13" t="s">
        <v>27</v>
      </c>
      <c r="B59" s="114"/>
      <c r="C59" s="114"/>
      <c r="D59" s="95" t="s">
        <v>19</v>
      </c>
      <c r="E59" s="95">
        <v>1</v>
      </c>
      <c r="F59" s="90">
        <v>0</v>
      </c>
      <c r="G59" s="118">
        <f>+E59*F59</f>
        <v>0</v>
      </c>
      <c r="H59" s="119">
        <f>+G59/$E$8*100</f>
        <v>0</v>
      </c>
      <c r="I59" s="3"/>
      <c r="J59" s="218" t="s">
        <v>100</v>
      </c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20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113" t="s">
        <v>28</v>
      </c>
      <c r="B60" s="114"/>
      <c r="C60" s="114"/>
      <c r="D60" s="95" t="s">
        <v>49</v>
      </c>
      <c r="E60" s="133">
        <f>+G52</f>
        <v>500.25368253714015</v>
      </c>
      <c r="F60" s="89">
        <v>0.05</v>
      </c>
      <c r="G60" s="118">
        <f>+E60*F60</f>
        <v>25.01268412685701</v>
      </c>
      <c r="H60" s="119">
        <f>+G60/$E$8*100</f>
        <v>2.084390343904751</v>
      </c>
      <c r="I60" s="3"/>
      <c r="J60" s="215" t="s">
        <v>97</v>
      </c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7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129" t="s">
        <v>29</v>
      </c>
      <c r="B61" s="103"/>
      <c r="C61" s="103"/>
      <c r="D61" s="135" t="s">
        <v>49</v>
      </c>
      <c r="E61" s="140">
        <f>+G52</f>
        <v>500.25368253714015</v>
      </c>
      <c r="F61" s="89">
        <v>0.05</v>
      </c>
      <c r="G61" s="125">
        <f>+E61*F61</f>
        <v>25.01268412685701</v>
      </c>
      <c r="H61" s="126">
        <f>+G61/$E$8*100</f>
        <v>2.084390343904751</v>
      </c>
      <c r="I61" s="3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130" t="s">
        <v>30</v>
      </c>
      <c r="B62" s="132"/>
      <c r="C62" s="132"/>
      <c r="D62" s="137"/>
      <c r="E62" s="137"/>
      <c r="F62" s="137"/>
      <c r="G62" s="127">
        <f>SUM(G55:G61)</f>
        <v>324.7240293648251</v>
      </c>
      <c r="H62" s="138">
        <f>SUM(H55:H61)</f>
        <v>27.060335780402095</v>
      </c>
      <c r="I62" s="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98"/>
      <c r="B63" s="99"/>
      <c r="C63" s="99"/>
      <c r="D63" s="99"/>
      <c r="E63" s="99"/>
      <c r="F63" s="99"/>
      <c r="G63" s="99"/>
      <c r="H63" s="10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130" t="s">
        <v>31</v>
      </c>
      <c r="B64" s="132"/>
      <c r="C64" s="132"/>
      <c r="D64" s="137"/>
      <c r="E64" s="137"/>
      <c r="F64" s="137"/>
      <c r="G64" s="127">
        <f>+G52+G62</f>
        <v>824.9777119019652</v>
      </c>
      <c r="H64" s="138">
        <f>+H52+H62</f>
        <v>68.74814265849712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130" t="s">
        <v>32</v>
      </c>
      <c r="B65" s="132"/>
      <c r="C65" s="132"/>
      <c r="D65" s="137"/>
      <c r="E65" s="137"/>
      <c r="F65" s="137"/>
      <c r="G65" s="127">
        <f>+G8-G64</f>
        <v>15.022288098034778</v>
      </c>
      <c r="H65" s="138">
        <f>+H8-H64</f>
        <v>1.251857341502884</v>
      </c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151" t="s">
        <v>146</v>
      </c>
      <c r="B66" s="141"/>
      <c r="C66" s="141"/>
      <c r="D66" s="141"/>
      <c r="E66" s="141"/>
      <c r="F66" s="141"/>
      <c r="G66" s="147"/>
      <c r="H66" s="14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142"/>
      <c r="B67" s="214"/>
      <c r="C67" s="214"/>
      <c r="D67" s="214"/>
      <c r="E67" s="214"/>
      <c r="F67" s="214"/>
      <c r="G67" s="214"/>
      <c r="H67" s="14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143" t="s">
        <v>96</v>
      </c>
      <c r="B68" s="144"/>
      <c r="C68" s="144"/>
      <c r="D68" s="144"/>
      <c r="E68" s="144"/>
      <c r="F68" s="99"/>
      <c r="G68" s="99"/>
      <c r="H68" s="108"/>
      <c r="I68" s="4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143" t="s">
        <v>95</v>
      </c>
      <c r="B69" s="144"/>
      <c r="C69" s="144"/>
      <c r="D69" s="144"/>
      <c r="E69" s="144"/>
      <c r="F69" s="99"/>
      <c r="G69" s="99"/>
      <c r="H69" s="108"/>
      <c r="I69" s="4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145" t="s">
        <v>144</v>
      </c>
      <c r="B70" s="146"/>
      <c r="C70" s="146"/>
      <c r="D70" s="146"/>
      <c r="E70" s="146"/>
      <c r="F70" s="104"/>
      <c r="G70" s="104"/>
      <c r="H70" s="150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6"/>
      <c r="B71" s="46"/>
      <c r="C71" s="46"/>
      <c r="D71" s="46"/>
      <c r="E71" s="46"/>
      <c r="F71" s="46"/>
      <c r="G71" s="46"/>
      <c r="H71" s="46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5"/>
      <c r="B72" s="45"/>
      <c r="C72" s="45"/>
      <c r="D72" s="45"/>
      <c r="E72" s="45"/>
      <c r="F72" s="45"/>
      <c r="G72" s="45"/>
      <c r="H72" s="45"/>
      <c r="I72" s="4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5" ht="13.5" customHeight="1">
      <c r="A73" s="49"/>
      <c r="B73" s="49"/>
      <c r="C73" s="49"/>
      <c r="D73" s="49"/>
      <c r="E73" s="49"/>
      <c r="F73" s="49"/>
      <c r="G73" s="49"/>
      <c r="H73" s="49"/>
      <c r="I73" s="4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50"/>
      <c r="B74" s="50"/>
      <c r="C74" s="50"/>
      <c r="D74" s="50"/>
      <c r="E74" s="49"/>
      <c r="F74" s="49"/>
      <c r="G74" s="49"/>
      <c r="H74" s="4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8"/>
      <c r="B75" s="48"/>
      <c r="C75" s="48"/>
      <c r="D75" s="48"/>
      <c r="E75" s="48"/>
      <c r="F75" s="48"/>
      <c r="G75" s="48"/>
      <c r="H75" s="4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5"/>
      <c r="B76" s="45"/>
      <c r="C76" s="45"/>
      <c r="D76" s="45"/>
      <c r="E76" s="45"/>
      <c r="F76" s="45"/>
      <c r="G76" s="45"/>
      <c r="H76" s="4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9"/>
      <c r="B79" s="40"/>
      <c r="C79" s="40"/>
      <c r="D79" s="40"/>
      <c r="E79" s="40"/>
      <c r="F79" s="40"/>
      <c r="G79" s="41"/>
      <c r="H79" s="4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9"/>
      <c r="B80" s="40"/>
      <c r="C80" s="40"/>
      <c r="D80" s="40"/>
      <c r="E80" s="40"/>
      <c r="F80" s="40"/>
      <c r="G80" s="41"/>
      <c r="H80" s="3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4">
    <mergeCell ref="R31:S31"/>
    <mergeCell ref="M5:O5"/>
    <mergeCell ref="J1:Y1"/>
    <mergeCell ref="J2:Y2"/>
    <mergeCell ref="L4:U4"/>
    <mergeCell ref="P5:R5"/>
    <mergeCell ref="S5:U5"/>
    <mergeCell ref="J19:K19"/>
    <mergeCell ref="A1:H1"/>
    <mergeCell ref="B5:C5"/>
    <mergeCell ref="A2:H2"/>
    <mergeCell ref="J20:K20"/>
    <mergeCell ref="J21:K21"/>
    <mergeCell ref="J41:K41"/>
    <mergeCell ref="J60:Y60"/>
    <mergeCell ref="J59:Y59"/>
    <mergeCell ref="M16:P16"/>
    <mergeCell ref="Q16:T16"/>
    <mergeCell ref="U16:W16"/>
    <mergeCell ref="J34:K34"/>
    <mergeCell ref="J35:K35"/>
    <mergeCell ref="T31:V31"/>
    <mergeCell ref="W31:Y31"/>
    <mergeCell ref="O31:Q31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W37 G13:H13 G25 G50 H47 G57:H57" formula="1"/>
    <ignoredError sqref="N49:N50 E13:E14 F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Don Shurley</cp:lastModifiedBy>
  <cp:lastPrinted>2016-02-11T20:55:00Z</cp:lastPrinted>
  <dcterms:created xsi:type="dcterms:W3CDTF">2005-11-29T13:52:22Z</dcterms:created>
  <dcterms:modified xsi:type="dcterms:W3CDTF">2016-02-14T22:55:13Z</dcterms:modified>
  <cp:category/>
  <cp:version/>
  <cp:contentType/>
  <cp:contentStatus/>
</cp:coreProperties>
</file>