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0" yWindow="-15" windowWidth="5715" windowHeight="909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F10" i="6" l="1"/>
  <c r="G10" i="6" s="1"/>
  <c r="C3" i="4" l="1"/>
  <c r="C4" i="4"/>
  <c r="C5" i="4"/>
  <c r="C6" i="4"/>
  <c r="C7" i="4"/>
  <c r="C8" i="4"/>
  <c r="C9" i="4"/>
  <c r="C10" i="4"/>
  <c r="C11" i="4"/>
  <c r="C12" i="4"/>
  <c r="C13" i="4"/>
  <c r="D29" i="6" l="1"/>
  <c r="L52" i="1" l="1"/>
  <c r="M18" i="2"/>
  <c r="W18" i="2"/>
  <c r="X18" i="2" s="1"/>
  <c r="AA18" i="2"/>
  <c r="AC18" i="2" s="1"/>
  <c r="Y18" i="2"/>
  <c r="Z18" i="2" s="1"/>
  <c r="S18" i="2"/>
  <c r="G18" i="2"/>
  <c r="B18" i="2"/>
  <c r="AD18" i="2" l="1"/>
  <c r="AE18" i="2"/>
  <c r="AB18" i="2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F18" i="2" l="1"/>
  <c r="AG18" i="2" s="1"/>
  <c r="AA40" i="3"/>
  <c r="AB40" i="3"/>
  <c r="AC21" i="3"/>
  <c r="AB33" i="3"/>
  <c r="AB32" i="3"/>
  <c r="AC19" i="3"/>
  <c r="AB28" i="3"/>
  <c r="AD28" i="3" s="1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D16" i="3" s="1"/>
  <c r="AC16" i="3"/>
  <c r="AA25" i="3"/>
  <c r="AA13" i="3"/>
  <c r="AB25" i="3"/>
  <c r="AB13" i="3"/>
  <c r="AA24" i="3"/>
  <c r="AA9" i="3"/>
  <c r="AD9" i="3" s="1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D11" i="3" s="1"/>
  <c r="AB43" i="3"/>
  <c r="AB35" i="3"/>
  <c r="AB11" i="3"/>
  <c r="AA42" i="3"/>
  <c r="AA34" i="3"/>
  <c r="AA26" i="3"/>
  <c r="AA10" i="3"/>
  <c r="AD10" i="3" s="1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40" i="3" l="1"/>
  <c r="AD18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 l="1"/>
  <c r="F29" i="6" l="1"/>
  <c r="G29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D11" i="6" l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C4" i="5" l="1"/>
  <c r="K22" i="4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H6" i="4" s="1"/>
  <c r="I6" i="4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B53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6" i="7" s="1"/>
  <c r="F35" i="7"/>
  <c r="B56" i="6"/>
  <c r="B57" i="6" s="1"/>
  <c r="B58" i="6" s="1"/>
  <c r="B59" i="6" s="1"/>
  <c r="E54" i="6"/>
  <c r="B52" i="6"/>
  <c r="B50" i="6"/>
  <c r="G44" i="6"/>
  <c r="G43" i="6"/>
  <c r="F39" i="6"/>
  <c r="G39" i="6" s="1"/>
  <c r="F38" i="6"/>
  <c r="G38" i="6" s="1"/>
  <c r="F46" i="7" l="1"/>
  <c r="AE376" i="1"/>
  <c r="AF376" i="1" s="1"/>
  <c r="AE164" i="1"/>
  <c r="AF164" i="1" s="1"/>
  <c r="AD162" i="1"/>
  <c r="AC162" i="1"/>
  <c r="AE162" i="1" s="1"/>
  <c r="AF162" i="1" s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8" i="6" s="1"/>
  <c r="F18" i="6" s="1"/>
  <c r="G18" i="6" s="1"/>
  <c r="C54" i="6"/>
  <c r="G54" i="6"/>
  <c r="D54" i="6"/>
  <c r="F54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5" i="6"/>
  <c r="E14" i="6"/>
  <c r="E13" i="6"/>
  <c r="E11" i="6"/>
  <c r="F27" i="6"/>
  <c r="G27" i="6" s="1"/>
  <c r="F26" i="6"/>
  <c r="G26" i="6" s="1"/>
  <c r="F9" i="6"/>
  <c r="G9" i="6" s="1"/>
  <c r="D15" i="6"/>
  <c r="D14" i="6"/>
  <c r="D13" i="6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G7" i="5"/>
  <c r="K7" i="5" s="1"/>
  <c r="G8" i="5"/>
  <c r="G9" i="5"/>
  <c r="K9" i="5" s="1"/>
  <c r="G10" i="5"/>
  <c r="AE4" i="3" l="1"/>
  <c r="S4" i="5"/>
  <c r="AE304" i="1"/>
  <c r="AF304" i="1" s="1"/>
  <c r="E32" i="7"/>
  <c r="E17" i="6" s="1"/>
  <c r="F17" i="6" s="1"/>
  <c r="G17" i="6" s="1"/>
  <c r="F25" i="7"/>
  <c r="F32" i="7" s="1"/>
  <c r="AE375" i="1"/>
  <c r="AF375" i="1" s="1"/>
  <c r="J6" i="4" s="1"/>
  <c r="G3" i="5"/>
  <c r="Q3" i="5" s="1"/>
  <c r="G5" i="5"/>
  <c r="G6" i="5"/>
  <c r="K6" i="5" s="1"/>
  <c r="F11" i="6"/>
  <c r="G11" i="6" s="1"/>
  <c r="F14" i="6"/>
  <c r="G14" i="6" s="1"/>
  <c r="F13" i="6"/>
  <c r="G13" i="6" s="1"/>
  <c r="F15" i="6"/>
  <c r="G15" i="6" s="1"/>
  <c r="F21" i="7"/>
  <c r="E21" i="7"/>
  <c r="E16" i="6" s="1"/>
  <c r="F16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K3" i="5"/>
  <c r="I3" i="5"/>
  <c r="R3" i="5" s="1"/>
  <c r="T3" i="5"/>
  <c r="O3" i="5"/>
  <c r="I6" i="5"/>
  <c r="U10" i="5"/>
  <c r="O6" i="5"/>
  <c r="Q6" i="5"/>
  <c r="R10" i="5"/>
  <c r="R8" i="5"/>
  <c r="R7" i="5"/>
  <c r="R9" i="5"/>
  <c r="G16" i="6"/>
  <c r="U8" i="5"/>
  <c r="U3" i="5" l="1"/>
  <c r="R6" i="5"/>
  <c r="G19" i="4" l="1"/>
  <c r="O5" i="3"/>
  <c r="Q5" i="3"/>
  <c r="R5" i="3" s="1"/>
  <c r="S5" i="3"/>
  <c r="T5" i="3" s="1"/>
  <c r="O6" i="3"/>
  <c r="Q6" i="3"/>
  <c r="R6" i="3" s="1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U31" i="3"/>
  <c r="V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C8" i="2" s="1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C10" i="2" s="1"/>
  <c r="AD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/>
  <c r="AA17" i="2"/>
  <c r="AB17" i="2" s="1"/>
  <c r="M19" i="2"/>
  <c r="S19" i="2"/>
  <c r="W19" i="2"/>
  <c r="X19" i="2" s="1"/>
  <c r="Y19" i="2"/>
  <c r="Z19" i="2" s="1"/>
  <c r="AA19" i="2"/>
  <c r="AC19" i="2" s="1"/>
  <c r="AD19" i="2" s="1"/>
  <c r="AB19" i="2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AC22" i="2"/>
  <c r="AD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AC25" i="2"/>
  <c r="AD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H4" i="4" s="1"/>
  <c r="I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H7" i="4" s="1"/>
  <c r="I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E4" i="5" s="1"/>
  <c r="G4" i="5" s="1"/>
  <c r="R427" i="1"/>
  <c r="V427" i="1"/>
  <c r="W427" i="1" s="1"/>
  <c r="X427" i="1"/>
  <c r="Y427" i="1" s="1"/>
  <c r="H4" i="5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AC30" i="2" l="1"/>
  <c r="AD30" i="2" s="1"/>
  <c r="T8" i="3"/>
  <c r="U42" i="3"/>
  <c r="V42" i="3" s="1"/>
  <c r="T24" i="3"/>
  <c r="AC16" i="2"/>
  <c r="AD16" i="2" s="1"/>
  <c r="AC20" i="2"/>
  <c r="AB8" i="2"/>
  <c r="AC27" i="2"/>
  <c r="AB10" i="2"/>
  <c r="U40" i="3"/>
  <c r="V40" i="3" s="1"/>
  <c r="U15" i="3"/>
  <c r="V15" i="3" s="1"/>
  <c r="U17" i="3"/>
  <c r="V17" i="3" s="1"/>
  <c r="H3" i="4"/>
  <c r="AE10" i="2"/>
  <c r="AC26" i="2"/>
  <c r="AD26" i="2" s="1"/>
  <c r="AE19" i="2"/>
  <c r="AB12" i="2"/>
  <c r="AC13" i="2"/>
  <c r="AC5" i="2"/>
  <c r="U34" i="3"/>
  <c r="V34" i="3" s="1"/>
  <c r="U20" i="3"/>
  <c r="V20" i="3" s="1"/>
  <c r="T43" i="3"/>
  <c r="U27" i="3"/>
  <c r="V27" i="3" s="1"/>
  <c r="P5" i="4"/>
  <c r="Q5" i="4" s="1"/>
  <c r="P7" i="4"/>
  <c r="Q7" i="4" s="1"/>
  <c r="P5" i="5"/>
  <c r="Q5" i="5" s="1"/>
  <c r="R5" i="5" s="1"/>
  <c r="G75" i="6" s="1"/>
  <c r="P8" i="4"/>
  <c r="Q8" i="4" s="1"/>
  <c r="T18" i="3"/>
  <c r="U11" i="3"/>
  <c r="V11" i="3" s="1"/>
  <c r="P3" i="4"/>
  <c r="P6" i="4"/>
  <c r="P4" i="4"/>
  <c r="Q4" i="4" s="1"/>
  <c r="H8" i="4"/>
  <c r="I8" i="4" s="1"/>
  <c r="H5" i="4"/>
  <c r="I5" i="4" s="1"/>
  <c r="I4" i="5"/>
  <c r="T4" i="5"/>
  <c r="O4" i="5"/>
  <c r="O11" i="5" s="1"/>
  <c r="D23" i="6" s="1"/>
  <c r="F23" i="6" s="1"/>
  <c r="G23" i="6" s="1"/>
  <c r="Q4" i="5"/>
  <c r="G11" i="5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C14" i="2"/>
  <c r="AE8" i="2"/>
  <c r="AF8" i="2" s="1"/>
  <c r="AG8" i="2" s="1"/>
  <c r="AC6" i="2"/>
  <c r="U41" i="3"/>
  <c r="U37" i="3"/>
  <c r="V37" i="3" s="1"/>
  <c r="AC32" i="2"/>
  <c r="AE25" i="2"/>
  <c r="AF25" i="2" s="1"/>
  <c r="AG25" i="2" s="1"/>
  <c r="AC24" i="2"/>
  <c r="U19" i="3"/>
  <c r="W17" i="3"/>
  <c r="X17" i="3" s="1"/>
  <c r="Y17" i="3" s="1"/>
  <c r="AE17" i="3" s="1"/>
  <c r="AC15" i="2"/>
  <c r="AC7" i="2"/>
  <c r="AE30" i="2"/>
  <c r="AF30" i="2" s="1"/>
  <c r="AG30" i="2" s="1"/>
  <c r="AC29" i="2"/>
  <c r="AE22" i="2"/>
  <c r="AF22" i="2" s="1"/>
  <c r="AG22" i="2" s="1"/>
  <c r="AC21" i="2"/>
  <c r="T16" i="3"/>
  <c r="V14" i="3"/>
  <c r="X14" i="3" s="1"/>
  <c r="Y14" i="3" s="1"/>
  <c r="AE14" i="3" s="1"/>
  <c r="V16" i="3"/>
  <c r="W16" i="3"/>
  <c r="V43" i="3"/>
  <c r="W43" i="3"/>
  <c r="V18" i="3"/>
  <c r="W18" i="3"/>
  <c r="U39" i="3"/>
  <c r="U38" i="3"/>
  <c r="W34" i="3"/>
  <c r="X34" i="3" s="1"/>
  <c r="Y34" i="3" s="1"/>
  <c r="AE34" i="3" s="1"/>
  <c r="U28" i="3"/>
  <c r="W24" i="3"/>
  <c r="U12" i="3"/>
  <c r="W8" i="3"/>
  <c r="X8" i="3" s="1"/>
  <c r="Y8" i="3" s="1"/>
  <c r="AE8" i="3" s="1"/>
  <c r="U33" i="3"/>
  <c r="U23" i="3"/>
  <c r="U7" i="3"/>
  <c r="W42" i="3"/>
  <c r="X42" i="3" s="1"/>
  <c r="Y42" i="3" s="1"/>
  <c r="AE42" i="3" s="1"/>
  <c r="U35" i="3"/>
  <c r="U25" i="3"/>
  <c r="W15" i="3"/>
  <c r="X15" i="3" s="1"/>
  <c r="Y15" i="3" s="1"/>
  <c r="AE15" i="3" s="1"/>
  <c r="U9" i="3"/>
  <c r="U36" i="3"/>
  <c r="U26" i="3"/>
  <c r="U10" i="3"/>
  <c r="U21" i="3"/>
  <c r="W11" i="3"/>
  <c r="X11" i="3" s="1"/>
  <c r="Y11" i="3" s="1"/>
  <c r="AE11" i="3" s="1"/>
  <c r="W31" i="3"/>
  <c r="X31" i="3" s="1"/>
  <c r="Y31" i="3" s="1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F19" i="2"/>
  <c r="AG19" i="2" s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D332" i="1"/>
  <c r="AE332" i="1" s="1"/>
  <c r="AF332" i="1" s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AF4" i="2" l="1"/>
  <c r="AG4" i="2" s="1"/>
  <c r="X24" i="3"/>
  <c r="Y24" i="3" s="1"/>
  <c r="AE24" i="3" s="1"/>
  <c r="AD381" i="1"/>
  <c r="W40" i="3"/>
  <c r="X40" i="3" s="1"/>
  <c r="Y40" i="3" s="1"/>
  <c r="AE40" i="3" s="1"/>
  <c r="AE16" i="2"/>
  <c r="AF16" i="2" s="1"/>
  <c r="AG16" i="2" s="1"/>
  <c r="AF10" i="2"/>
  <c r="AG10" i="2" s="1"/>
  <c r="AD20" i="2"/>
  <c r="AE20" i="2"/>
  <c r="AD445" i="1"/>
  <c r="AE445" i="1" s="1"/>
  <c r="AF445" i="1" s="1"/>
  <c r="AD336" i="1"/>
  <c r="AD389" i="1"/>
  <c r="AE389" i="1" s="1"/>
  <c r="AF389" i="1" s="1"/>
  <c r="AD27" i="2"/>
  <c r="AE27" i="2"/>
  <c r="W20" i="3"/>
  <c r="X20" i="3" s="1"/>
  <c r="Y20" i="3" s="1"/>
  <c r="AE20" i="3" s="1"/>
  <c r="V30" i="3"/>
  <c r="X30" i="3" s="1"/>
  <c r="Y30" i="3" s="1"/>
  <c r="AE30" i="3" s="1"/>
  <c r="AD395" i="1"/>
  <c r="AE395" i="1" s="1"/>
  <c r="AF395" i="1" s="1"/>
  <c r="AD66" i="1"/>
  <c r="AE66" i="1" s="1"/>
  <c r="AF66" i="1" s="1"/>
  <c r="AD27" i="1"/>
  <c r="AE27" i="1" s="1"/>
  <c r="AF27" i="1" s="1"/>
  <c r="AE26" i="2"/>
  <c r="AF26" i="2" s="1"/>
  <c r="AG26" i="2" s="1"/>
  <c r="W27" i="3"/>
  <c r="X27" i="3" s="1"/>
  <c r="Y27" i="3" s="1"/>
  <c r="AE27" i="3" s="1"/>
  <c r="AD371" i="1"/>
  <c r="AE371" i="1" s="1"/>
  <c r="AF371" i="1" s="1"/>
  <c r="AD166" i="1"/>
  <c r="AE166" i="1" s="1"/>
  <c r="AF166" i="1" s="1"/>
  <c r="AD342" i="1"/>
  <c r="AE342" i="1" s="1"/>
  <c r="AF342" i="1" s="1"/>
  <c r="AD400" i="1"/>
  <c r="AE400" i="1" s="1"/>
  <c r="AF400" i="1" s="1"/>
  <c r="R4" i="5"/>
  <c r="G74" i="6" s="1"/>
  <c r="G76" i="6" s="1"/>
  <c r="AD19" i="1"/>
  <c r="AE19" i="1" s="1"/>
  <c r="AF19" i="1" s="1"/>
  <c r="AF11" i="2"/>
  <c r="AG11" i="2" s="1"/>
  <c r="AE5" i="2"/>
  <c r="AD5" i="2"/>
  <c r="AE13" i="2"/>
  <c r="AD13" i="2"/>
  <c r="AF13" i="2" s="1"/>
  <c r="AG13" i="2" s="1"/>
  <c r="AF12" i="2"/>
  <c r="AG12" i="2" s="1"/>
  <c r="S6" i="4"/>
  <c r="T6" i="4" s="1"/>
  <c r="S4" i="4"/>
  <c r="T4" i="4" s="1"/>
  <c r="X18" i="3"/>
  <c r="Y18" i="3" s="1"/>
  <c r="AE18" i="3" s="1"/>
  <c r="X43" i="3"/>
  <c r="Y43" i="3" s="1"/>
  <c r="AE43" i="3" s="1"/>
  <c r="W32" i="3"/>
  <c r="X32" i="3" s="1"/>
  <c r="Y32" i="3" s="1"/>
  <c r="AE32" i="3" s="1"/>
  <c r="W29" i="3"/>
  <c r="X29" i="3" s="1"/>
  <c r="Y29" i="3" s="1"/>
  <c r="AE29" i="3" s="1"/>
  <c r="AD350" i="1"/>
  <c r="AE350" i="1" s="1"/>
  <c r="AF350" i="1" s="1"/>
  <c r="AD63" i="1"/>
  <c r="AE63" i="1" s="1"/>
  <c r="AF63" i="1" s="1"/>
  <c r="AD39" i="1"/>
  <c r="AE39" i="1" s="1"/>
  <c r="AF39" i="1" s="1"/>
  <c r="AD110" i="1"/>
  <c r="AE110" i="1" s="1"/>
  <c r="AF110" i="1" s="1"/>
  <c r="AD57" i="1"/>
  <c r="AE57" i="1" s="1"/>
  <c r="AF57" i="1" s="1"/>
  <c r="AD174" i="1"/>
  <c r="AE174" i="1" s="1"/>
  <c r="AF174" i="1" s="1"/>
  <c r="AD117" i="1"/>
  <c r="AE117" i="1" s="1"/>
  <c r="AF117" i="1" s="1"/>
  <c r="AD22" i="1"/>
  <c r="AE22" i="1" s="1"/>
  <c r="AF22" i="1" s="1"/>
  <c r="AD311" i="1"/>
  <c r="AE311" i="1" s="1"/>
  <c r="AF311" i="1" s="1"/>
  <c r="AD313" i="1"/>
  <c r="AE313" i="1" s="1"/>
  <c r="AF313" i="1" s="1"/>
  <c r="AD466" i="1"/>
  <c r="AE466" i="1" s="1"/>
  <c r="AF466" i="1" s="1"/>
  <c r="AD74" i="1"/>
  <c r="AE74" i="1" s="1"/>
  <c r="AF74" i="1" s="1"/>
  <c r="AD446" i="1"/>
  <c r="AE446" i="1" s="1"/>
  <c r="AF446" i="1" s="1"/>
  <c r="AD182" i="1"/>
  <c r="AE182" i="1" s="1"/>
  <c r="AF182" i="1" s="1"/>
  <c r="AD185" i="1"/>
  <c r="AE185" i="1" s="1"/>
  <c r="AF185" i="1" s="1"/>
  <c r="AD378" i="1"/>
  <c r="AE378" i="1" s="1"/>
  <c r="AF378" i="1" s="1"/>
  <c r="AD197" i="1"/>
  <c r="AE197" i="1" s="1"/>
  <c r="AF197" i="1" s="1"/>
  <c r="AD248" i="1"/>
  <c r="AE248" i="1" s="1"/>
  <c r="AF248" i="1" s="1"/>
  <c r="AD360" i="1"/>
  <c r="AE360" i="1" s="1"/>
  <c r="AF360" i="1" s="1"/>
  <c r="AC447" i="1"/>
  <c r="AE447" i="1" s="1"/>
  <c r="AF447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J7" i="4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336" i="1"/>
  <c r="AF336" i="1" s="1"/>
  <c r="V5" i="3"/>
  <c r="W5" i="3"/>
  <c r="AD465" i="1"/>
  <c r="AE465" i="1" s="1"/>
  <c r="AF465" i="1" s="1"/>
  <c r="AE381" i="1"/>
  <c r="AF381" i="1" s="1"/>
  <c r="AE379" i="1"/>
  <c r="AF379" i="1" s="1"/>
  <c r="G15" i="4"/>
  <c r="D25" i="6" s="1"/>
  <c r="F25" i="6" s="1"/>
  <c r="Q6" i="4"/>
  <c r="R6" i="4" s="1"/>
  <c r="G67" i="6" s="1"/>
  <c r="Q10" i="4"/>
  <c r="R10" i="4" s="1"/>
  <c r="T10" i="4"/>
  <c r="U10" i="4" s="1"/>
  <c r="O5" i="4"/>
  <c r="Q9" i="4"/>
  <c r="R9" i="4" s="1"/>
  <c r="O7" i="4"/>
  <c r="R7" i="4"/>
  <c r="G68" i="6" s="1"/>
  <c r="U9" i="4"/>
  <c r="R5" i="4"/>
  <c r="G66" i="6" s="1"/>
  <c r="R13" i="4"/>
  <c r="R11" i="4"/>
  <c r="R12" i="4"/>
  <c r="R4" i="4"/>
  <c r="G65" i="6" s="1"/>
  <c r="R8" i="4"/>
  <c r="G69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F20" i="2" l="1"/>
  <c r="AG20" i="2" s="1"/>
  <c r="AF5" i="2"/>
  <c r="AG5" i="2" s="1"/>
  <c r="AF6" i="2"/>
  <c r="AG6" i="2" s="1"/>
  <c r="AF27" i="2"/>
  <c r="AG27" i="2" s="1"/>
  <c r="AF14" i="2"/>
  <c r="AG14" i="2" s="1"/>
  <c r="X38" i="3"/>
  <c r="Y38" i="3" s="1"/>
  <c r="AE38" i="3" s="1"/>
  <c r="R11" i="5"/>
  <c r="E24" i="6" s="1"/>
  <c r="F24" i="6" s="1"/>
  <c r="G24" i="6" s="1"/>
  <c r="AF31" i="2"/>
  <c r="AG31" i="2" s="1"/>
  <c r="X10" i="3"/>
  <c r="Y10" i="3" s="1"/>
  <c r="AE10" i="3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20" i="6" s="1"/>
  <c r="F20" i="6" s="1"/>
  <c r="G20" i="6" s="1"/>
  <c r="G25" i="6"/>
  <c r="R3" i="4"/>
  <c r="G64" i="6" s="1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J3" i="4" s="1"/>
  <c r="K3" i="4" s="1"/>
  <c r="M3" i="4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J4" i="5" s="1"/>
  <c r="K4" i="5" s="1"/>
  <c r="U4" i="5" s="1"/>
  <c r="H74" i="6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AE25" i="3" l="1"/>
  <c r="S5" i="4"/>
  <c r="T5" i="4" s="1"/>
  <c r="S8" i="4"/>
  <c r="T8" i="4" s="1"/>
  <c r="S7" i="4"/>
  <c r="T7" i="4" s="1"/>
  <c r="S5" i="5"/>
  <c r="T5" i="5" s="1"/>
  <c r="U5" i="5" s="1"/>
  <c r="S3" i="4"/>
  <c r="T3" i="4" s="1"/>
  <c r="U3" i="4" s="1"/>
  <c r="H64" i="6" s="1"/>
  <c r="F74" i="6"/>
  <c r="C74" i="6"/>
  <c r="D74" i="6"/>
  <c r="B74" i="6"/>
  <c r="AF351" i="1"/>
  <c r="K7" i="4"/>
  <c r="M7" i="4" s="1"/>
  <c r="AF7" i="1"/>
  <c r="AF292" i="1"/>
  <c r="K6" i="4"/>
  <c r="M6" i="4" s="1"/>
  <c r="AF158" i="1"/>
  <c r="K4" i="4"/>
  <c r="M4" i="4" s="1"/>
  <c r="R15" i="4"/>
  <c r="E21" i="6" s="1"/>
  <c r="F21" i="6" s="1"/>
  <c r="D28" i="6" s="1"/>
  <c r="F28" i="6" s="1"/>
  <c r="G28" i="6" s="1"/>
  <c r="G70" i="6"/>
  <c r="H75" i="6" l="1"/>
  <c r="U11" i="5"/>
  <c r="E35" i="6" s="1"/>
  <c r="F35" i="6" s="1"/>
  <c r="G35" i="6" s="1"/>
  <c r="J5" i="4"/>
  <c r="K5" i="4" s="1"/>
  <c r="M5" i="4" s="1"/>
  <c r="J8" i="4"/>
  <c r="K8" i="4" s="1"/>
  <c r="E74" i="6"/>
  <c r="F64" i="6"/>
  <c r="D64" i="6"/>
  <c r="C64" i="6"/>
  <c r="B64" i="6"/>
  <c r="U4" i="4"/>
  <c r="H65" i="6" s="1"/>
  <c r="U6" i="4"/>
  <c r="H67" i="6" s="1"/>
  <c r="U7" i="4"/>
  <c r="H68" i="6" s="1"/>
  <c r="G21" i="6"/>
  <c r="G30" i="6" s="1"/>
  <c r="F30" i="6"/>
  <c r="U5" i="4" l="1"/>
  <c r="H66" i="6" s="1"/>
  <c r="B66" i="6" s="1"/>
  <c r="F75" i="6"/>
  <c r="F76" i="6" s="1"/>
  <c r="C75" i="6"/>
  <c r="H76" i="6"/>
  <c r="D75" i="6"/>
  <c r="B75" i="6"/>
  <c r="M8" i="4"/>
  <c r="U8" i="4"/>
  <c r="H69" i="6" s="1"/>
  <c r="H70" i="6" s="1"/>
  <c r="B68" i="6"/>
  <c r="C68" i="6"/>
  <c r="D68" i="6"/>
  <c r="F68" i="6"/>
  <c r="B67" i="6"/>
  <c r="C67" i="6"/>
  <c r="D67" i="6"/>
  <c r="F67" i="6"/>
  <c r="C66" i="6"/>
  <c r="D66" i="6"/>
  <c r="E64" i="6"/>
  <c r="F65" i="6"/>
  <c r="D65" i="6"/>
  <c r="C65" i="6"/>
  <c r="B65" i="6"/>
  <c r="C56" i="6"/>
  <c r="E56" i="6"/>
  <c r="G56" i="6"/>
  <c r="D57" i="6"/>
  <c r="F57" i="6"/>
  <c r="C58" i="6"/>
  <c r="E58" i="6"/>
  <c r="G58" i="6"/>
  <c r="D59" i="6"/>
  <c r="F59" i="6"/>
  <c r="D55" i="6"/>
  <c r="F55" i="6"/>
  <c r="C55" i="6"/>
  <c r="D56" i="6"/>
  <c r="F56" i="6"/>
  <c r="C57" i="6"/>
  <c r="E57" i="6"/>
  <c r="G57" i="6"/>
  <c r="D58" i="6"/>
  <c r="F58" i="6"/>
  <c r="C59" i="6"/>
  <c r="E59" i="6"/>
  <c r="G59" i="6"/>
  <c r="E55" i="6"/>
  <c r="G55" i="6"/>
  <c r="D36" i="6"/>
  <c r="F36" i="6" s="1"/>
  <c r="G36" i="6" s="1"/>
  <c r="D37" i="6"/>
  <c r="F37" i="6" s="1"/>
  <c r="G37" i="6" s="1"/>
  <c r="E75" i="6" l="1"/>
  <c r="E76" i="6" s="1"/>
  <c r="F66" i="6"/>
  <c r="U15" i="4"/>
  <c r="E34" i="6" s="1"/>
  <c r="F34" i="6" s="1"/>
  <c r="G34" i="6" s="1"/>
  <c r="G40" i="6" s="1"/>
  <c r="G42" i="6" s="1"/>
  <c r="F69" i="6"/>
  <c r="B69" i="6"/>
  <c r="C69" i="6"/>
  <c r="D69" i="6"/>
  <c r="E67" i="6"/>
  <c r="E66" i="6"/>
  <c r="E68" i="6"/>
  <c r="E65" i="6"/>
  <c r="E69" i="6" l="1"/>
  <c r="F40" i="6"/>
  <c r="F42" i="6" s="1"/>
  <c r="F70" i="6"/>
  <c r="E70" i="6"/>
</calcChain>
</file>

<file path=xl/sharedStrings.xml><?xml version="1.0" encoding="utf-8"?>
<sst xmlns="http://schemas.openxmlformats.org/spreadsheetml/2006/main" count="2017" uniqueCount="529">
  <si>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</si>
  <si>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</si>
  <si>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</si>
  <si>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</si>
  <si>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</si>
  <si>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</si>
  <si>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</si>
  <si>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</si>
  <si>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</si>
  <si>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</si>
  <si>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</si>
  <si>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</si>
  <si>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</si>
  <si>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</si>
  <si>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</si>
  <si>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</si>
  <si>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</si>
  <si>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</si>
  <si>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</si>
  <si>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</si>
  <si>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</si>
  <si>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</si>
  <si>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</si>
  <si>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</si>
  <si>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</si>
  <si>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</si>
  <si>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</si>
  <si>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</si>
  <si>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</si>
  <si>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</si>
  <si>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</si>
  <si>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</si>
  <si>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</si>
  <si>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</si>
  <si>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</si>
  <si>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</si>
  <si>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</si>
  <si>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</si>
  <si>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</si>
  <si>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</si>
  <si>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</si>
  <si>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</si>
  <si>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</si>
  <si>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</si>
  <si>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</si>
  <si>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</si>
  <si>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</si>
  <si>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</si>
  <si>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</si>
  <si>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</si>
  <si>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</si>
  <si>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</si>
  <si>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</si>
  <si>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</si>
  <si>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</si>
  <si>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</si>
  <si>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</si>
  <si>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</si>
  <si>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</si>
  <si>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</si>
  <si>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</si>
  <si>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</si>
  <si>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</si>
  <si>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</si>
  <si>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</si>
  <si>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</si>
  <si>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</si>
  <si>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</si>
  <si>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</si>
  <si>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</si>
  <si>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</si>
  <si>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</si>
  <si>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</si>
  <si>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</si>
  <si>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</si>
  <si>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</si>
  <si>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</si>
  <si>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</si>
  <si>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</si>
  <si>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</si>
  <si>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</si>
  <si>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</si>
  <si>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</si>
  <si>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</si>
  <si>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</si>
  <si>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</si>
  <si>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</si>
  <si>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</si>
  <si>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</si>
  <si>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</si>
  <si>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</si>
  <si>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</si>
  <si>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</si>
  <si>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</si>
  <si>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</si>
  <si>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</si>
  <si>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</si>
  <si>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</si>
  <si>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</si>
  <si>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</si>
  <si>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</si>
  <si>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</si>
  <si>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</si>
  <si>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</si>
  <si>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</si>
  <si>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</si>
  <si>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</si>
  <si>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</si>
  <si>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</si>
  <si>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</si>
  <si>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</si>
  <si>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</si>
  <si>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</si>
  <si>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</si>
  <si>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</si>
  <si>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</si>
  <si>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</si>
  <si>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</si>
  <si>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</si>
  <si>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</si>
  <si>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</si>
  <si>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</si>
  <si>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</si>
  <si>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</si>
  <si>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</si>
  <si>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</si>
  <si>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</si>
  <si>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</si>
  <si>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</si>
  <si>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</si>
  <si>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</si>
  <si>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</si>
  <si>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</si>
  <si>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</si>
  <si>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</si>
  <si>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</si>
  <si>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</si>
  <si>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</si>
  <si>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</si>
  <si>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</si>
  <si>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</si>
  <si>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</si>
  <si>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</si>
  <si>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</si>
  <si>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</si>
  <si>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</si>
  <si>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</si>
  <si>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</si>
  <si>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</si>
  <si>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</si>
  <si>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</si>
  <si>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</si>
  <si>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</si>
  <si>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</si>
  <si>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</si>
  <si>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</si>
  <si>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</si>
  <si>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</si>
  <si>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</si>
  <si>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</si>
  <si>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</si>
  <si>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</si>
  <si>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</si>
  <si>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</si>
  <si>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</si>
  <si>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</si>
  <si>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</si>
  <si>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</si>
  <si>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</si>
  <si>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</si>
  <si>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</si>
  <si>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</si>
  <si>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</si>
  <si>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</si>
  <si>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</si>
  <si>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</si>
  <si>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</si>
  <si>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</si>
  <si>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</si>
  <si>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</si>
  <si>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</si>
  <si>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</si>
  <si>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</si>
  <si>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</si>
  <si>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</si>
  <si>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</si>
  <si>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</si>
  <si>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</si>
  <si>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</si>
  <si>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</si>
  <si>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</si>
  <si>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</si>
  <si>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</si>
  <si>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</si>
  <si>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</si>
  <si>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</si>
  <si>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</si>
  <si>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</si>
  <si>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</si>
  <si>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</si>
  <si>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</si>
  <si>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</si>
  <si>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</si>
  <si>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</si>
  <si>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</si>
  <si>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</si>
  <si>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</si>
  <si>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</si>
  <si>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</si>
  <si>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</si>
  <si>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</si>
  <si>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</si>
  <si>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</si>
  <si>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</si>
  <si>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</si>
  <si>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</si>
  <si>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</si>
  <si>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</si>
  <si>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</si>
  <si>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</si>
  <si>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</si>
  <si>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</si>
  <si>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</si>
  <si>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</si>
  <si>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</si>
  <si>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</si>
  <si>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</si>
  <si>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</si>
  <si>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</si>
  <si>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</si>
  <si>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</si>
  <si>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</si>
  <si>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</si>
  <si>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</si>
  <si>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</si>
  <si>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</si>
  <si>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</si>
  <si>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</si>
  <si>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</si>
  <si>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</si>
  <si>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</si>
  <si>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</si>
  <si>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</si>
  <si>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</si>
  <si>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</si>
  <si>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</si>
  <si>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</si>
  <si>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</si>
  <si>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</si>
  <si>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</si>
  <si>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</si>
  <si>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</si>
  <si>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</si>
  <si>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</si>
  <si>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</si>
  <si>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</si>
  <si>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</si>
  <si>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</si>
  <si>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</si>
  <si>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</si>
  <si>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</si>
  <si>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</si>
  <si>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</si>
  <si>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</si>
  <si>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</si>
  <si>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</si>
  <si>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</si>
  <si>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</si>
  <si>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</si>
  <si>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</si>
  <si>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</si>
  <si>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</si>
  <si>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</si>
  <si>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</si>
  <si>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</si>
  <si>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</si>
  <si>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</si>
  <si>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</si>
  <si>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</si>
  <si>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</si>
  <si>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</si>
  <si>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</si>
  <si>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</si>
  <si>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</si>
  <si>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</si>
  <si>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</si>
  <si>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</si>
  <si>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</si>
  <si>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</si>
  <si>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</si>
  <si>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</si>
  <si>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</si>
  <si>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</si>
  <si>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</si>
  <si>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</si>
  <si>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</si>
  <si>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</si>
  <si>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</si>
  <si>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</si>
  <si>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</si>
  <si>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</si>
  <si>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</si>
  <si>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</si>
  <si>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</si>
  <si>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</si>
  <si>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</si>
  <si>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</si>
  <si>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</si>
  <si>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</si>
  <si>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</si>
  <si>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</si>
  <si>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</si>
  <si>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</si>
  <si>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</si>
  <si>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</si>
  <si>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</si>
  <si>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</si>
  <si>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</si>
  <si>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</si>
  <si>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</si>
  <si>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</si>
  <si>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</si>
  <si>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</si>
  <si>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</si>
  <si>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</si>
  <si>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</si>
  <si>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</si>
  <si>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</si>
  <si>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</si>
  <si>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</si>
  <si>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</si>
  <si>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</si>
  <si>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</si>
  <si>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</si>
  <si>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</si>
  <si>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</si>
  <si>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</si>
  <si>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</si>
  <si>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</si>
  <si>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</si>
  <si>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</si>
  <si>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</si>
  <si>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</si>
  <si>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</si>
  <si>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</si>
  <si>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</si>
  <si>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</si>
  <si>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</si>
  <si>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</si>
  <si>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</si>
  <si>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</si>
  <si>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</si>
  <si>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</si>
  <si>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</si>
  <si>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</si>
  <si>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</si>
  <si>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</si>
  <si>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</si>
  <si>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</si>
  <si>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</si>
  <si>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</si>
  <si>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</si>
  <si>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</si>
  <si>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</si>
  <si>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</si>
  <si>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</si>
  <si>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</si>
  <si>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</si>
  <si>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</si>
  <si>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</si>
  <si>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</si>
  <si>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</si>
  <si>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</si>
  <si>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</si>
  <si>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</si>
  <si>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</si>
  <si>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</si>
  <si>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</si>
  <si>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</si>
  <si>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</si>
  <si>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</si>
  <si>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</si>
  <si>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</si>
  <si>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</si>
  <si>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</si>
  <si>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</si>
  <si>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</si>
  <si>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</si>
  <si>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</si>
  <si>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</si>
  <si>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</si>
  <si>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</si>
  <si>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</si>
  <si>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</si>
  <si>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</si>
  <si>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</si>
  <si>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</si>
  <si>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</si>
  <si>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</si>
  <si>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</si>
  <si>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</si>
  <si>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</si>
  <si>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</si>
  <si>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</si>
  <si>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</si>
  <si>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</si>
  <si>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</si>
  <si>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</si>
  <si>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</si>
  <si>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</si>
  <si>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</si>
  <si>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</si>
  <si>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</si>
  <si>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</si>
  <si>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</si>
  <si>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</si>
  <si>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</si>
  <si>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</si>
  <si>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</si>
  <si>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</si>
  <si>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</si>
  <si>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</si>
  <si>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</si>
  <si>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</si>
  <si>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</si>
  <si>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</si>
  <si>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</si>
  <si>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</si>
  <si>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</si>
  <si>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</si>
  <si>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</si>
  <si>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</si>
  <si>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</si>
  <si>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</si>
  <si>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</si>
  <si>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</si>
  <si>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</si>
  <si>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</si>
  <si>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</si>
  <si>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</si>
  <si>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</si>
  <si>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</si>
  <si>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</si>
  <si>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</si>
  <si>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</si>
  <si>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</si>
  <si>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</si>
  <si>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</si>
  <si>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</si>
  <si>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</si>
  <si>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</si>
  <si>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</si>
  <si>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</si>
  <si>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</si>
  <si>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</si>
  <si>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</si>
  <si>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</si>
  <si>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</si>
  <si>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</si>
  <si>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</si>
  <si>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</si>
  <si>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</si>
  <si>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</si>
  <si>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</si>
  <si>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</si>
  <si>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</si>
  <si>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</si>
  <si>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</si>
  <si>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</si>
  <si>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</si>
  <si>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</si>
  <si>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</si>
  <si>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</si>
  <si>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</si>
  <si>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</si>
  <si>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</si>
  <si>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</si>
  <si>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</si>
  <si>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</si>
  <si>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</si>
  <si>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</si>
  <si>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</si>
  <si>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</si>
  <si>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</si>
  <si>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</si>
  <si>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</si>
  <si>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</si>
  <si>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</si>
  <si>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</si>
  <si>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</si>
  <si>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</si>
  <si>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</si>
  <si>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</si>
  <si>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</si>
  <si>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</si>
  <si>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</si>
  <si>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</si>
  <si>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</si>
  <si>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</si>
  <si>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</si>
  <si>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</si>
  <si>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Preharvest Machinery **</t>
  </si>
  <si>
    <t>1.16, Fert Appl (Liquid)  6R-36</t>
  </si>
  <si>
    <t>3.47, Spray (Broadcast) 60'</t>
  </si>
  <si>
    <t>0.28, Tractor (180-199 hp) MFWD 190</t>
  </si>
  <si>
    <t>0.22, Tractor (120-139 hp) 2WD 130</t>
  </si>
  <si>
    <t>0.23, Grain Cart Corn  500 bu</t>
  </si>
  <si>
    <t>0.01, Combine (200-249 hp) 240 hp</t>
  </si>
  <si>
    <t>18' Rigid</t>
  </si>
  <si>
    <t>18' Flex</t>
  </si>
  <si>
    <t>0.42, Header Wheat/Sorghum 18' Rigid</t>
  </si>
  <si>
    <t>Labor Use*** (hrs/ac)</t>
  </si>
  <si>
    <t>*** Includes unallocated labor factor of 0.25.  Unallocated labor factor is percentage allowance for additional labor required to move equipment and hook/unhook implements, etc.</t>
  </si>
  <si>
    <t>1.08, Disk Harrow 32'</t>
  </si>
  <si>
    <t>* Substituting mechanical cultivation for pre-emerge herbicide application would lower variable costs by $9.50/ac and increase fixed cost by $1/ac.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</si>
  <si>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</si>
  <si>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Drying - 8 points</t>
  </si>
  <si>
    <t>Non-Irrigated Grain Sorghum, Strip Tillage</t>
  </si>
  <si>
    <t>Cover Crop Seed</t>
  </si>
  <si>
    <t>3.26, Spin Spreader 5 ton</t>
  </si>
  <si>
    <t>3.71, ST Plant Rigid 6R-36</t>
  </si>
  <si>
    <t>Your Yield</t>
  </si>
  <si>
    <t>Your Farm</t>
  </si>
  <si>
    <t>** Rip, strip and plant in one pass. Performing rip, strip and plant as separate operations increases preharvest fuel use by 0.6 gal ($2.15/ac), labor costs by $0.80/ac, and repairs by $0.80/ac. Fixed costs would increase by $2.30/ac.</t>
  </si>
  <si>
    <t xml:space="preserve">Developed by Amanda Smith and Nathan Smith. </t>
  </si>
  <si>
    <t>South Georgia, 2016</t>
  </si>
  <si>
    <t>Treated Seed</t>
  </si>
  <si>
    <t>Sivanto 200 SL</t>
  </si>
  <si>
    <t>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</si>
</sst>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39" borderId="0" xfId="0" applyFill="1" applyBorder="1" applyAlignment="1">
      <alignment horizontal="right"/>
    </xf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2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C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5" width="9.85546875" bestFit="1" customWidth="1"/>
    <col min="6" max="6" width="12.5703125" bestFit="1" customWidth="1"/>
    <col min="7" max="7" width="9.7109375" customWidth="1"/>
    <col min="8" max="8" width="9.5703125" bestFit="1" customWidth="1"/>
  </cols>
  <sheetData>
    <row r="1" spans="1:9" ht="14.45" x14ac:dyDescent="0.3">
      <c r="B1" s="264" t="s">
        <v>517</v>
      </c>
      <c r="C1" s="264"/>
      <c r="D1" s="264"/>
      <c r="E1" s="264"/>
      <c r="F1" s="264"/>
      <c r="G1" s="264"/>
      <c r="H1" s="264"/>
      <c r="I1" s="57"/>
    </row>
    <row r="2" spans="1:9" ht="14.45" x14ac:dyDescent="0.3">
      <c r="B2" s="264" t="s">
        <v>525</v>
      </c>
      <c r="C2" s="264"/>
      <c r="D2" s="264"/>
      <c r="E2" s="264"/>
      <c r="F2" s="264"/>
      <c r="G2" s="264"/>
      <c r="H2" s="264"/>
      <c r="I2" s="51"/>
    </row>
    <row r="3" spans="1:9" ht="14.45" x14ac:dyDescent="0.3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64" t="s">
        <v>371</v>
      </c>
      <c r="C4" s="264"/>
      <c r="D4" s="264"/>
      <c r="E4" s="264"/>
      <c r="F4" s="264"/>
      <c r="G4" s="264"/>
      <c r="H4" s="264"/>
      <c r="I4" s="57"/>
    </row>
    <row r="6" spans="1:9" x14ac:dyDescent="0.25">
      <c r="B6" s="77" t="s">
        <v>372</v>
      </c>
      <c r="C6" s="57">
        <v>65</v>
      </c>
      <c r="D6" t="s">
        <v>492</v>
      </c>
      <c r="E6" t="s">
        <v>521</v>
      </c>
    </row>
    <row r="7" spans="1:9" x14ac:dyDescent="0.25">
      <c r="F7" s="248"/>
    </row>
    <row r="8" spans="1:9" x14ac:dyDescent="0.25">
      <c r="B8" s="109" t="s">
        <v>373</v>
      </c>
      <c r="C8" s="109" t="s">
        <v>366</v>
      </c>
      <c r="D8" s="76" t="s">
        <v>367</v>
      </c>
      <c r="E8" s="76" t="s">
        <v>368</v>
      </c>
      <c r="F8" s="76" t="s">
        <v>374</v>
      </c>
      <c r="G8" s="76" t="str">
        <f>CONCATENATE("$/",$D$6)</f>
        <v>$/bushel</v>
      </c>
      <c r="H8" s="249" t="s">
        <v>522</v>
      </c>
      <c r="I8" s="77"/>
    </row>
    <row r="9" spans="1:9" x14ac:dyDescent="0.25">
      <c r="B9" s="224" t="s">
        <v>526</v>
      </c>
      <c r="C9" t="s">
        <v>384</v>
      </c>
      <c r="D9">
        <v>55</v>
      </c>
      <c r="E9" s="41">
        <v>0.23</v>
      </c>
      <c r="F9" s="41">
        <f>E9*D9</f>
        <v>12.65</v>
      </c>
      <c r="G9" s="78">
        <f>F9/yield</f>
        <v>0.19461538461538463</v>
      </c>
    </row>
    <row r="10" spans="1:9" s="224" customFormat="1" x14ac:dyDescent="0.25">
      <c r="B10" s="224" t="s">
        <v>518</v>
      </c>
      <c r="C10" s="224" t="s">
        <v>492</v>
      </c>
      <c r="D10" s="224">
        <v>1.5</v>
      </c>
      <c r="E10" s="225">
        <v>15</v>
      </c>
      <c r="F10" s="225">
        <f>E10*D10</f>
        <v>22.5</v>
      </c>
      <c r="G10" s="226">
        <f>F10/yield</f>
        <v>0.34615384615384615</v>
      </c>
      <c r="H10" s="248"/>
    </row>
    <row r="11" spans="1:9" x14ac:dyDescent="0.25">
      <c r="B11" t="s">
        <v>363</v>
      </c>
      <c r="C11" t="s">
        <v>385</v>
      </c>
      <c r="D11">
        <f>'Fert, Weed, Insct, Dis'!$C$6</f>
        <v>0.25</v>
      </c>
      <c r="E11" s="78">
        <f>'Fert, Weed, Insct, Dis'!$D$6</f>
        <v>45</v>
      </c>
      <c r="F11" s="41">
        <f>E11*D11</f>
        <v>11.25</v>
      </c>
      <c r="G11" s="78">
        <f>F11/yield</f>
        <v>0.17307692307692307</v>
      </c>
      <c r="H11" s="248"/>
    </row>
    <row r="12" spans="1:9" x14ac:dyDescent="0.25">
      <c r="A12" s="156" t="s">
        <v>440</v>
      </c>
      <c r="B12" t="s">
        <v>376</v>
      </c>
      <c r="F12" s="41"/>
      <c r="G12" s="78"/>
    </row>
    <row r="13" spans="1:9" x14ac:dyDescent="0.25">
      <c r="B13" s="107" t="s">
        <v>377</v>
      </c>
      <c r="C13" t="s">
        <v>369</v>
      </c>
      <c r="D13">
        <f>'Fert, Weed, Insct, Dis'!$C$3</f>
        <v>80</v>
      </c>
      <c r="E13" s="78">
        <f>'Fert, Weed, Insct, Dis'!$D$3</f>
        <v>0.5</v>
      </c>
      <c r="F13" s="41">
        <f t="shared" ref="F13:F18" si="0">E13*D13</f>
        <v>40</v>
      </c>
      <c r="G13" s="78">
        <f t="shared" ref="G13:G18" si="1">F13/yield</f>
        <v>0.61538461538461542</v>
      </c>
    </row>
    <row r="14" spans="1:9" x14ac:dyDescent="0.25">
      <c r="B14" s="107" t="s">
        <v>378</v>
      </c>
      <c r="C14" t="s">
        <v>369</v>
      </c>
      <c r="D14">
        <f>'Fert, Weed, Insct, Dis'!$C$4</f>
        <v>40</v>
      </c>
      <c r="E14" s="78">
        <f>'Fert, Weed, Insct, Dis'!$D$4</f>
        <v>0.42</v>
      </c>
      <c r="F14" s="41">
        <f t="shared" si="0"/>
        <v>16.8</v>
      </c>
      <c r="G14" s="78">
        <f t="shared" si="1"/>
        <v>0.25846153846153846</v>
      </c>
      <c r="H14" s="248"/>
    </row>
    <row r="15" spans="1:9" x14ac:dyDescent="0.25">
      <c r="B15" s="107" t="s">
        <v>379</v>
      </c>
      <c r="C15" t="s">
        <v>369</v>
      </c>
      <c r="D15">
        <f>'Fert, Weed, Insct, Dis'!$C$5</f>
        <v>60</v>
      </c>
      <c r="E15" s="78">
        <f>'Fert, Weed, Insct, Dis'!$D$5</f>
        <v>0.34</v>
      </c>
      <c r="F15" s="41">
        <f t="shared" si="0"/>
        <v>20.400000000000002</v>
      </c>
      <c r="G15" s="78">
        <f t="shared" si="1"/>
        <v>0.31384615384615389</v>
      </c>
    </row>
    <row r="16" spans="1:9" x14ac:dyDescent="0.25">
      <c r="A16" s="156" t="s">
        <v>441</v>
      </c>
      <c r="B16" t="s">
        <v>500</v>
      </c>
      <c r="C16" t="s">
        <v>386</v>
      </c>
      <c r="D16">
        <v>1</v>
      </c>
      <c r="E16" s="78">
        <f>'Fert, Weed, Insct, Dis'!$E$21</f>
        <v>16.38</v>
      </c>
      <c r="F16" s="41">
        <f t="shared" si="0"/>
        <v>16.38</v>
      </c>
      <c r="G16" s="78">
        <f t="shared" si="1"/>
        <v>0.252</v>
      </c>
      <c r="H16" s="248"/>
    </row>
    <row r="17" spans="1:8" x14ac:dyDescent="0.25">
      <c r="A17" s="156" t="s">
        <v>442</v>
      </c>
      <c r="B17" t="s">
        <v>380</v>
      </c>
      <c r="C17" t="s">
        <v>386</v>
      </c>
      <c r="D17">
        <v>1</v>
      </c>
      <c r="E17" s="78">
        <f>'Fert, Weed, Insct, Dis'!$E$32</f>
        <v>11.4</v>
      </c>
      <c r="F17" s="41">
        <f t="shared" si="0"/>
        <v>11.4</v>
      </c>
      <c r="G17" s="78">
        <f t="shared" si="1"/>
        <v>0.17538461538461539</v>
      </c>
    </row>
    <row r="18" spans="1:8" x14ac:dyDescent="0.25">
      <c r="A18" s="156" t="s">
        <v>443</v>
      </c>
      <c r="B18" s="43" t="s">
        <v>431</v>
      </c>
      <c r="C18" t="s">
        <v>386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48"/>
    </row>
    <row r="19" spans="1:8" x14ac:dyDescent="0.25">
      <c r="A19" s="156" t="s">
        <v>445</v>
      </c>
      <c r="B19" t="s">
        <v>501</v>
      </c>
      <c r="F19" s="41"/>
      <c r="G19" s="78"/>
    </row>
    <row r="20" spans="1:8" x14ac:dyDescent="0.25">
      <c r="B20" s="107" t="s">
        <v>381</v>
      </c>
      <c r="C20" t="s">
        <v>387</v>
      </c>
      <c r="D20" s="207">
        <f>PreHarvest!O15+PreHarvest!I24</f>
        <v>3.7901021145306411</v>
      </c>
      <c r="E20" s="41">
        <v>1.8</v>
      </c>
      <c r="F20" s="41">
        <f>E20*D20</f>
        <v>6.8221838061551541</v>
      </c>
      <c r="G20" s="78">
        <f>F20/yield</f>
        <v>0.10495667394084852</v>
      </c>
    </row>
    <row r="21" spans="1:8" x14ac:dyDescent="0.25">
      <c r="B21" s="107" t="s">
        <v>382</v>
      </c>
      <c r="C21" t="s">
        <v>386</v>
      </c>
      <c r="D21">
        <v>1</v>
      </c>
      <c r="E21" s="41">
        <f>PreHarvest!$R$15+PreHarvest!$K$24</f>
        <v>8.7056555961258137</v>
      </c>
      <c r="F21" s="41">
        <f>E21*D21</f>
        <v>8.7056555961258137</v>
      </c>
      <c r="G21" s="78">
        <f>F21/yield</f>
        <v>0.13393316301732022</v>
      </c>
      <c r="H21" s="248"/>
    </row>
    <row r="22" spans="1:8" x14ac:dyDescent="0.25">
      <c r="A22" s="156" t="s">
        <v>444</v>
      </c>
      <c r="B22" t="s">
        <v>383</v>
      </c>
      <c r="F22" s="41"/>
      <c r="G22" s="78"/>
    </row>
    <row r="23" spans="1:8" x14ac:dyDescent="0.25">
      <c r="B23" s="107" t="s">
        <v>381</v>
      </c>
      <c r="C23" t="s">
        <v>387</v>
      </c>
      <c r="D23" s="207">
        <f>Harvest!O11</f>
        <v>2.5316526644257697</v>
      </c>
      <c r="E23" s="41">
        <v>1.8</v>
      </c>
      <c r="F23" s="41">
        <f t="shared" ref="F23:F29" si="2">E23*D23</f>
        <v>4.5569747959663855</v>
      </c>
      <c r="G23" s="78">
        <f t="shared" ref="G23:G29" si="3">F23/yield</f>
        <v>7.0107304553329003E-2</v>
      </c>
    </row>
    <row r="24" spans="1:8" x14ac:dyDescent="0.25">
      <c r="B24" s="107" t="s">
        <v>382</v>
      </c>
      <c r="C24" t="s">
        <v>386</v>
      </c>
      <c r="D24">
        <v>1</v>
      </c>
      <c r="E24" s="41">
        <f>Harvest!$R$11</f>
        <v>6.6503194404761903</v>
      </c>
      <c r="F24" s="41">
        <f t="shared" si="2"/>
        <v>6.6503194404761903</v>
      </c>
      <c r="G24" s="78">
        <f t="shared" si="3"/>
        <v>0.10231260677655678</v>
      </c>
      <c r="H24" s="248"/>
    </row>
    <row r="25" spans="1:8" x14ac:dyDescent="0.25">
      <c r="B25" t="s">
        <v>388</v>
      </c>
      <c r="C25" t="s">
        <v>393</v>
      </c>
      <c r="D25" s="207">
        <f>1.25*((PreHarvest!G15+PreHarvest!G24)+Harvest!G11)</f>
        <v>0.89873441550765598</v>
      </c>
      <c r="E25" s="41">
        <v>12.5</v>
      </c>
      <c r="F25" s="41">
        <f t="shared" si="2"/>
        <v>11.234180193845699</v>
      </c>
      <c r="G25" s="78">
        <f t="shared" si="3"/>
        <v>0.17283354144377999</v>
      </c>
    </row>
    <row r="26" spans="1:8" x14ac:dyDescent="0.25">
      <c r="B26" t="s">
        <v>389</v>
      </c>
      <c r="C26" t="s">
        <v>386</v>
      </c>
      <c r="D26">
        <v>1</v>
      </c>
      <c r="E26" s="41">
        <v>17</v>
      </c>
      <c r="F26" s="41">
        <f t="shared" si="2"/>
        <v>17</v>
      </c>
      <c r="G26" s="78">
        <f t="shared" si="3"/>
        <v>0.26153846153846155</v>
      </c>
      <c r="H26" s="248"/>
    </row>
    <row r="27" spans="1:8" x14ac:dyDescent="0.25">
      <c r="B27" t="s">
        <v>390</v>
      </c>
      <c r="C27" t="s">
        <v>386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5">
      <c r="B28" t="s">
        <v>391</v>
      </c>
      <c r="C28" t="s">
        <v>392</v>
      </c>
      <c r="D28" s="78">
        <f>SUM(F9:F27)*0.5</f>
        <v>103.17465691628463</v>
      </c>
      <c r="E28" s="106">
        <v>6.5000000000000002E-2</v>
      </c>
      <c r="F28" s="41">
        <f t="shared" si="2"/>
        <v>6.7063526995585017</v>
      </c>
      <c r="G28" s="78">
        <f t="shared" si="3"/>
        <v>0.10317465691628463</v>
      </c>
      <c r="H28" s="248"/>
    </row>
    <row r="29" spans="1:8" s="224" customFormat="1" x14ac:dyDescent="0.25">
      <c r="B29" s="224" t="s">
        <v>516</v>
      </c>
      <c r="C29" s="239" t="str">
        <f t="shared" ref="C29" si="4">$D$6</f>
        <v>bushel</v>
      </c>
      <c r="D29" s="236">
        <f>yield*1.1</f>
        <v>71.5</v>
      </c>
      <c r="E29" s="225">
        <v>0.28000000000000003</v>
      </c>
      <c r="F29" s="225">
        <f t="shared" si="2"/>
        <v>20.020000000000003</v>
      </c>
      <c r="G29" s="226">
        <f t="shared" si="3"/>
        <v>0.30800000000000005</v>
      </c>
    </row>
    <row r="30" spans="1:8" x14ac:dyDescent="0.25">
      <c r="B30" s="258" t="s">
        <v>394</v>
      </c>
      <c r="C30" s="258"/>
      <c r="D30" s="258"/>
      <c r="E30" s="258"/>
      <c r="F30" s="108">
        <f>SUM(F9:F29)</f>
        <v>233.07566653212777</v>
      </c>
      <c r="G30" s="108">
        <f>SUM(G9:G29)</f>
        <v>3.5857794851096578</v>
      </c>
      <c r="H30" s="248"/>
    </row>
    <row r="32" spans="1:8" x14ac:dyDescent="0.25">
      <c r="B32" s="110" t="s">
        <v>399</v>
      </c>
      <c r="C32" s="110"/>
      <c r="D32" s="110"/>
      <c r="E32" s="110"/>
      <c r="F32" s="110"/>
      <c r="G32" s="110"/>
      <c r="H32" s="248"/>
    </row>
    <row r="33" spans="2:8" x14ac:dyDescent="0.25">
      <c r="B33" s="257" t="s">
        <v>400</v>
      </c>
      <c r="C33" s="257"/>
      <c r="D33" s="257"/>
      <c r="E33" s="257"/>
      <c r="F33" s="257"/>
      <c r="G33" s="257"/>
      <c r="H33" s="257"/>
    </row>
    <row r="34" spans="2:8" x14ac:dyDescent="0.25">
      <c r="B34" s="107" t="s">
        <v>515</v>
      </c>
      <c r="C34" t="s">
        <v>386</v>
      </c>
      <c r="D34">
        <v>1</v>
      </c>
      <c r="E34" s="41">
        <f>PreHarvest!$U$15+PreHarvest!$M$24</f>
        <v>23.442134508551785</v>
      </c>
      <c r="F34" s="41">
        <f>E34*D34</f>
        <v>23.442134508551785</v>
      </c>
      <c r="G34" s="41">
        <f t="shared" ref="G34:G39" si="5">F34/yield</f>
        <v>0.36064822320848899</v>
      </c>
    </row>
    <row r="35" spans="2:8" x14ac:dyDescent="0.25">
      <c r="B35" s="107" t="s">
        <v>401</v>
      </c>
      <c r="C35" t="s">
        <v>386</v>
      </c>
      <c r="D35">
        <v>1</v>
      </c>
      <c r="E35" s="41">
        <f>Harvest!$U$11</f>
        <v>34.216618087333323</v>
      </c>
      <c r="F35" s="41">
        <f t="shared" ref="F35:F39" si="6">E35*D35</f>
        <v>34.216618087333323</v>
      </c>
      <c r="G35" s="41">
        <f t="shared" si="5"/>
        <v>0.52640950903589723</v>
      </c>
      <c r="H35" s="248"/>
    </row>
    <row r="36" spans="2:8" x14ac:dyDescent="0.25">
      <c r="B36" t="s">
        <v>402</v>
      </c>
      <c r="C36" t="s">
        <v>403</v>
      </c>
      <c r="D36" s="41">
        <f>tvc</f>
        <v>233.07566653212777</v>
      </c>
      <c r="E36" s="111">
        <v>0.05</v>
      </c>
      <c r="F36" s="41">
        <f t="shared" si="6"/>
        <v>11.653783326606389</v>
      </c>
      <c r="G36" s="41">
        <f t="shared" si="5"/>
        <v>0.1792889742554829</v>
      </c>
    </row>
    <row r="37" spans="2:8" x14ac:dyDescent="0.25">
      <c r="B37" t="s">
        <v>404</v>
      </c>
      <c r="C37" t="s">
        <v>403</v>
      </c>
      <c r="D37" s="41">
        <f>tvc</f>
        <v>233.07566653212777</v>
      </c>
      <c r="E37" s="111">
        <v>0.05</v>
      </c>
      <c r="F37" s="41">
        <f>E37*D37</f>
        <v>11.653783326606389</v>
      </c>
      <c r="G37" s="41">
        <f t="shared" si="5"/>
        <v>0.1792889742554829</v>
      </c>
      <c r="H37" s="248"/>
    </row>
    <row r="38" spans="2:8" ht="30" x14ac:dyDescent="0.25">
      <c r="B38" s="112" t="s">
        <v>405</v>
      </c>
      <c r="C38" t="s">
        <v>386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 x14ac:dyDescent="0.25">
      <c r="B39" s="56" t="s">
        <v>406</v>
      </c>
      <c r="C39" s="56" t="s">
        <v>386</v>
      </c>
      <c r="D39" s="56">
        <v>1</v>
      </c>
      <c r="E39" s="113">
        <v>0</v>
      </c>
      <c r="F39" s="113">
        <f t="shared" si="6"/>
        <v>0</v>
      </c>
      <c r="G39" s="41">
        <f t="shared" si="5"/>
        <v>0</v>
      </c>
      <c r="H39" s="248"/>
    </row>
    <row r="40" spans="2:8" x14ac:dyDescent="0.25">
      <c r="B40" s="258" t="s">
        <v>407</v>
      </c>
      <c r="C40" s="258"/>
      <c r="D40" s="258"/>
      <c r="E40" s="258"/>
      <c r="F40" s="108">
        <f>SUM(F34:F39)</f>
        <v>80.966319249097879</v>
      </c>
      <c r="G40" s="108">
        <f>SUM(G34:G39)</f>
        <v>1.2456356807553519</v>
      </c>
      <c r="H40" s="248"/>
    </row>
    <row r="42" spans="2:8" ht="15.75" thickBot="1" x14ac:dyDescent="0.3">
      <c r="B42" s="114" t="s">
        <v>408</v>
      </c>
      <c r="C42" s="114"/>
      <c r="D42" s="114"/>
      <c r="E42" s="114"/>
      <c r="F42" s="115">
        <f>F30+F40</f>
        <v>314.04198578122566</v>
      </c>
      <c r="G42" s="115">
        <f>G30+G40</f>
        <v>4.8314151658650095</v>
      </c>
      <c r="H42" s="248"/>
    </row>
    <row r="43" spans="2:8" x14ac:dyDescent="0.25">
      <c r="B43" s="116" t="s">
        <v>409</v>
      </c>
      <c r="C43" s="116"/>
      <c r="D43" s="116"/>
      <c r="E43" s="117" t="s">
        <v>410</v>
      </c>
      <c r="F43" s="123"/>
      <c r="G43" s="118" t="str">
        <f>CONCATENATE("/",$D$6)</f>
        <v>/bushel</v>
      </c>
    </row>
    <row r="44" spans="2:8" ht="15.75" thickBot="1" x14ac:dyDescent="0.3">
      <c r="B44" s="119" t="s">
        <v>411</v>
      </c>
      <c r="C44" s="119"/>
      <c r="D44" s="119"/>
      <c r="E44" s="120" t="s">
        <v>410</v>
      </c>
      <c r="F44" s="121"/>
      <c r="G44" s="122" t="str">
        <f>CONCATENATE("/",$D$6)</f>
        <v>/bushel</v>
      </c>
    </row>
    <row r="45" spans="2:8" x14ac:dyDescent="0.25">
      <c r="B45" s="151"/>
      <c r="C45" s="151"/>
      <c r="D45" s="151"/>
      <c r="E45" s="152"/>
      <c r="F45" s="153"/>
      <c r="G45" s="154"/>
    </row>
    <row r="46" spans="2:8" ht="28.9" customHeight="1" x14ac:dyDescent="0.25">
      <c r="B46" s="262" t="s">
        <v>514</v>
      </c>
      <c r="C46" s="262"/>
      <c r="D46" s="262"/>
      <c r="E46" s="262"/>
      <c r="F46" s="262"/>
      <c r="G46" s="262"/>
      <c r="H46" s="262"/>
    </row>
    <row r="47" spans="2:8" ht="43.15" customHeight="1" x14ac:dyDescent="0.25">
      <c r="B47" s="263" t="s">
        <v>523</v>
      </c>
      <c r="C47" s="263"/>
      <c r="D47" s="263"/>
      <c r="E47" s="263"/>
      <c r="F47" s="263"/>
      <c r="G47" s="263"/>
      <c r="H47" s="263"/>
    </row>
    <row r="48" spans="2:8" ht="14.45" customHeight="1" x14ac:dyDescent="0.25">
      <c r="B48" s="255" t="s">
        <v>524</v>
      </c>
      <c r="C48" s="255"/>
      <c r="D48" s="255"/>
      <c r="E48" s="255"/>
      <c r="F48" s="255"/>
      <c r="G48" s="255"/>
      <c r="H48" s="255"/>
    </row>
    <row r="49" spans="2:8" x14ac:dyDescent="0.25">
      <c r="B49" s="256"/>
      <c r="C49" s="256"/>
      <c r="D49" s="256"/>
      <c r="E49" s="256"/>
      <c r="F49" s="256"/>
      <c r="G49" s="256"/>
      <c r="H49" s="256"/>
    </row>
    <row r="50" spans="2:8" x14ac:dyDescent="0.25">
      <c r="B50" s="254" t="str">
        <f>CONCATENATE("Sensitivity Analysis of ",B1)</f>
        <v>Sensitivity Analysis of Non-Irrigated Grain Sorghum, Strip Tillage</v>
      </c>
      <c r="C50" s="254"/>
      <c r="D50" s="254"/>
      <c r="E50" s="254"/>
      <c r="F50" s="254"/>
      <c r="G50" s="254"/>
      <c r="H50" s="124"/>
    </row>
    <row r="51" spans="2:8" x14ac:dyDescent="0.25">
      <c r="B51" s="259" t="s">
        <v>412</v>
      </c>
      <c r="C51" s="259"/>
      <c r="D51" s="259"/>
      <c r="E51" s="259"/>
      <c r="F51" s="259"/>
      <c r="G51" s="259"/>
      <c r="H51" s="125"/>
    </row>
    <row r="52" spans="2:8" x14ac:dyDescent="0.25">
      <c r="B52" s="260" t="str">
        <f>CONCATENATE("Varying Prices and Yields ","(",(D6),")")</f>
        <v>Varying Prices and Yields (bushel)</v>
      </c>
      <c r="C52" s="260"/>
      <c r="D52" s="260"/>
      <c r="E52" s="260"/>
      <c r="F52" s="260"/>
      <c r="G52" s="260"/>
      <c r="H52" s="125"/>
    </row>
    <row r="53" spans="2:8" x14ac:dyDescent="0.25">
      <c r="B53" s="265" t="str">
        <f>CONCATENATE("Price \ ",$D$6,"/Acre")</f>
        <v>Price \ bushel/Acre</v>
      </c>
      <c r="C53" s="126" t="s">
        <v>413</v>
      </c>
      <c r="D53" s="126" t="s">
        <v>414</v>
      </c>
      <c r="E53" s="127" t="s">
        <v>415</v>
      </c>
      <c r="F53" s="126" t="s">
        <v>416</v>
      </c>
      <c r="G53" s="126" t="s">
        <v>417</v>
      </c>
      <c r="H53" s="128"/>
    </row>
    <row r="54" spans="2:8" x14ac:dyDescent="0.25">
      <c r="B54" s="266"/>
      <c r="C54" s="129">
        <f>E54*0.75</f>
        <v>48.75</v>
      </c>
      <c r="D54" s="129">
        <f>E54*0.9</f>
        <v>58.5</v>
      </c>
      <c r="E54" s="129">
        <f>yield</f>
        <v>65</v>
      </c>
      <c r="F54" s="129">
        <f>E54*1.1</f>
        <v>71.5</v>
      </c>
      <c r="G54" s="129">
        <f>E54*1.25</f>
        <v>81.25</v>
      </c>
    </row>
    <row r="55" spans="2:8" x14ac:dyDescent="0.25">
      <c r="B55" s="130">
        <v>4.5</v>
      </c>
      <c r="C55" s="131">
        <f t="shared" ref="C55:G59" si="7">$B55*C$54-tvc</f>
        <v>-13.700666532127769</v>
      </c>
      <c r="D55" s="131">
        <f t="shared" si="7"/>
        <v>30.174333467872231</v>
      </c>
      <c r="E55" s="131">
        <f t="shared" si="7"/>
        <v>59.424333467872231</v>
      </c>
      <c r="F55" s="131">
        <f t="shared" si="7"/>
        <v>88.674333467872231</v>
      </c>
      <c r="G55" s="131">
        <f t="shared" si="7"/>
        <v>132.54933346787223</v>
      </c>
    </row>
    <row r="56" spans="2:8" x14ac:dyDescent="0.25">
      <c r="B56" s="132">
        <f>B55+0.5</f>
        <v>5</v>
      </c>
      <c r="C56" s="133">
        <f t="shared" si="7"/>
        <v>10.674333467872231</v>
      </c>
      <c r="D56" s="133">
        <f t="shared" si="7"/>
        <v>59.424333467872231</v>
      </c>
      <c r="E56" s="133">
        <f t="shared" si="7"/>
        <v>91.924333467872231</v>
      </c>
      <c r="F56" s="133">
        <f t="shared" si="7"/>
        <v>124.42433346787223</v>
      </c>
      <c r="G56" s="133">
        <f t="shared" si="7"/>
        <v>173.17433346787223</v>
      </c>
    </row>
    <row r="57" spans="2:8" x14ac:dyDescent="0.25">
      <c r="B57" s="132">
        <f t="shared" ref="B57:B59" si="8">B56+0.5</f>
        <v>5.5</v>
      </c>
      <c r="C57" s="133">
        <f t="shared" si="7"/>
        <v>35.049333467872231</v>
      </c>
      <c r="D57" s="133">
        <f t="shared" si="7"/>
        <v>88.674333467872231</v>
      </c>
      <c r="E57" s="133">
        <f t="shared" si="7"/>
        <v>124.42433346787223</v>
      </c>
      <c r="F57" s="133">
        <f t="shared" si="7"/>
        <v>160.17433346787223</v>
      </c>
      <c r="G57" s="133">
        <f t="shared" si="7"/>
        <v>213.79933346787223</v>
      </c>
    </row>
    <row r="58" spans="2:8" x14ac:dyDescent="0.25">
      <c r="B58" s="132">
        <f t="shared" si="8"/>
        <v>6</v>
      </c>
      <c r="C58" s="133">
        <f t="shared" si="7"/>
        <v>59.424333467872231</v>
      </c>
      <c r="D58" s="133">
        <f t="shared" si="7"/>
        <v>117.92433346787223</v>
      </c>
      <c r="E58" s="133">
        <f t="shared" si="7"/>
        <v>156.92433346787223</v>
      </c>
      <c r="F58" s="133">
        <f t="shared" si="7"/>
        <v>195.92433346787223</v>
      </c>
      <c r="G58" s="133">
        <f t="shared" si="7"/>
        <v>254.42433346787223</v>
      </c>
    </row>
    <row r="59" spans="2:8" x14ac:dyDescent="0.25">
      <c r="B59" s="134">
        <f t="shared" si="8"/>
        <v>6.5</v>
      </c>
      <c r="C59" s="135">
        <f t="shared" si="7"/>
        <v>83.799333467872231</v>
      </c>
      <c r="D59" s="135">
        <f t="shared" si="7"/>
        <v>147.17433346787223</v>
      </c>
      <c r="E59" s="135">
        <f t="shared" si="7"/>
        <v>189.42433346787223</v>
      </c>
      <c r="F59" s="135">
        <f t="shared" si="7"/>
        <v>231.67433346787223</v>
      </c>
      <c r="G59" s="135">
        <f t="shared" si="7"/>
        <v>295.0493334678722</v>
      </c>
    </row>
    <row r="61" spans="2:8" x14ac:dyDescent="0.25">
      <c r="B61" s="253" t="s">
        <v>418</v>
      </c>
      <c r="C61" s="253"/>
      <c r="D61" s="253"/>
      <c r="E61" s="253"/>
      <c r="F61" s="253"/>
      <c r="G61" s="253"/>
      <c r="H61" s="253"/>
    </row>
    <row r="62" spans="2:8" x14ac:dyDescent="0.25">
      <c r="B62" s="254" t="s">
        <v>419</v>
      </c>
      <c r="C62" s="254"/>
      <c r="D62" s="254"/>
      <c r="E62" s="254"/>
      <c r="F62" s="254"/>
      <c r="G62" s="254"/>
      <c r="H62" s="254"/>
    </row>
    <row r="63" spans="2:8" ht="45" x14ac:dyDescent="0.25">
      <c r="B63" s="136" t="s">
        <v>420</v>
      </c>
      <c r="C63" s="137" t="s">
        <v>421</v>
      </c>
      <c r="D63" s="137" t="s">
        <v>422</v>
      </c>
      <c r="E63" s="137" t="s">
        <v>511</v>
      </c>
      <c r="F63" s="137" t="s">
        <v>423</v>
      </c>
      <c r="G63" s="137" t="s">
        <v>424</v>
      </c>
      <c r="H63" s="137" t="s">
        <v>425</v>
      </c>
    </row>
    <row r="64" spans="2:8" ht="30" x14ac:dyDescent="0.25">
      <c r="B64" s="162" t="str">
        <f>IF(H64&gt;0,(CONCATENATE(PreHarvest!$C3," with ",PreHarvest!$M3))," ")</f>
        <v>Spin Spreader 5 ton with Tractor (120-139 hp) 2WD 130</v>
      </c>
      <c r="C64" s="206">
        <f>IF(H64&gt;0,(1/PreHarvest!$E3)," ")</f>
        <v>23.757575757575758</v>
      </c>
      <c r="D64" s="138">
        <f>IF(H64&gt;0,(PreHarvest!$F3)," ")</f>
        <v>1</v>
      </c>
      <c r="E64" s="139">
        <f>IF(H64&gt;0,(D64*1/C64*1.25)," ")</f>
        <v>5.2614795918367346E-2</v>
      </c>
      <c r="F64" s="139">
        <f>IF(H64&gt;0, (PreHarvest!$O3)," ")</f>
        <v>0.28165331632653057</v>
      </c>
      <c r="G64" s="227">
        <f>PreHarvest!$R3</f>
        <v>0.55614440597667636</v>
      </c>
      <c r="H64" s="227">
        <f>PreHarvest!$U3</f>
        <v>1.5828799001457725</v>
      </c>
    </row>
    <row r="65" spans="2:8" ht="30" x14ac:dyDescent="0.25">
      <c r="B65" s="231" t="str">
        <f>IF(H65&gt;0,(CONCATENATE(PreHarvest!$C4," with ",PreHarvest!$M4))," ")</f>
        <v>Disk Harrow 32' with Tractor (180-199 hp) MFWD 190</v>
      </c>
      <c r="C65" s="235">
        <f>IF(H65&gt;0,(1/PreHarvest!$E4)," ")</f>
        <v>16.290909090909089</v>
      </c>
      <c r="D65" s="140">
        <f>IF(H65&gt;0,(PreHarvest!$F4)," ")</f>
        <v>1</v>
      </c>
      <c r="E65" s="228">
        <f t="shared" ref="E65" si="9">IF(H65&gt;0,(D65*1/C65*1.25)," ")</f>
        <v>7.6729910714285726E-2</v>
      </c>
      <c r="F65" s="228">
        <f>IF(H65&gt;0, (PreHarvest!$O4)," ")</f>
        <v>0.60032254464285717</v>
      </c>
      <c r="G65" s="229">
        <f>PreHarvest!$R4</f>
        <v>1.63038637329932</v>
      </c>
      <c r="H65" s="229">
        <f>PreHarvest!$U4</f>
        <v>4.7341252338435371</v>
      </c>
    </row>
    <row r="66" spans="2:8" ht="30" x14ac:dyDescent="0.25">
      <c r="B66" s="231" t="str">
        <f>IF(H66&gt;0,(CONCATENATE(PreHarvest!$C5," with ",PreHarvest!$M5))," ")</f>
        <v>Spray (Broadcast) 60' with Tractor (120-139 hp) 2WD 130</v>
      </c>
      <c r="C66" s="235">
        <f>IF(H66&gt;0,(1/PreHarvest!$E5)," ")</f>
        <v>35.454545454545453</v>
      </c>
      <c r="D66" s="140">
        <f>IF(H66&gt;0,(PreHarvest!$F5)," ")</f>
        <v>1</v>
      </c>
      <c r="E66" s="228">
        <f t="shared" ref="E66:E69" si="10">IF(H66&gt;0,(D66*1/C66*1.25)," ")</f>
        <v>3.5256410256410256E-2</v>
      </c>
      <c r="F66" s="228">
        <f>IF(H66&gt;0, (PreHarvest!$O5)," ")</f>
        <v>0.18873179487179487</v>
      </c>
      <c r="G66" s="229">
        <f>PreHarvest!$R5</f>
        <v>0.33274697802197806</v>
      </c>
      <c r="H66" s="229">
        <f>PreHarvest!$U5</f>
        <v>0.80236316043956046</v>
      </c>
    </row>
    <row r="67" spans="2:8" s="224" customFormat="1" ht="30" x14ac:dyDescent="0.25">
      <c r="B67" s="231" t="str">
        <f>IF(H67&gt;0,(CONCATENATE(PreHarvest!$C6," with ",PreHarvest!$M6))," ")</f>
        <v>ST Plant Rigid 6R-36 with Tractor (180-199 hp) MFWD 190</v>
      </c>
      <c r="C67" s="235">
        <f>IF(H67&gt;0,(1/PreHarvest!$E6)," ")</f>
        <v>6.872727272727273</v>
      </c>
      <c r="D67" s="140">
        <f>IF(H67&gt;0,(PreHarvest!$F6)," ")</f>
        <v>1</v>
      </c>
      <c r="E67" s="228">
        <f t="shared" si="10"/>
        <v>0.18187830687830686</v>
      </c>
      <c r="F67" s="228">
        <f>IF(H67&gt;0, (PreHarvest!$O6)," ")</f>
        <v>1.4229867724867724</v>
      </c>
      <c r="G67" s="229">
        <f>PreHarvest!$R6</f>
        <v>3.3464943310657596</v>
      </c>
      <c r="H67" s="229">
        <f>PreHarvest!$U6</f>
        <v>10.007195457294028</v>
      </c>
    </row>
    <row r="68" spans="2:8" s="224" customFormat="1" ht="30" x14ac:dyDescent="0.25">
      <c r="B68" s="231" t="str">
        <f>IF(H68&gt;0,(CONCATENATE(PreHarvest!$C7," with ",PreHarvest!$M7))," ")</f>
        <v>Fert Appl (Liquid)  6R-36 with Tractor (120-139 hp) 2WD 130</v>
      </c>
      <c r="C68" s="235">
        <f>IF(H68&gt;0,(1/PreHarvest!$E7)," ")</f>
        <v>9.1636363636363622</v>
      </c>
      <c r="D68" s="140">
        <f>IF(H68&gt;0,(PreHarvest!$F7)," ")</f>
        <v>1</v>
      </c>
      <c r="E68" s="228">
        <f t="shared" si="10"/>
        <v>0.13640873015873017</v>
      </c>
      <c r="F68" s="228">
        <f>IF(H68&gt;0, (PreHarvest!$O7)," ")</f>
        <v>0.73021230158730166</v>
      </c>
      <c r="G68" s="229">
        <f>PreHarvest!$R7</f>
        <v>1.8416425736961455</v>
      </c>
      <c r="H68" s="229">
        <f>PreHarvest!$U7</f>
        <v>3.908481275510205</v>
      </c>
    </row>
    <row r="69" spans="2:8" s="224" customFormat="1" ht="30" x14ac:dyDescent="0.25">
      <c r="B69" s="231" t="str">
        <f>IF(H69&gt;0,(CONCATENATE(PreHarvest!$C8," with ",PreHarvest!$M8))," ")</f>
        <v>Spray (Broadcast) 60' with Tractor (120-139 hp) 2WD 130</v>
      </c>
      <c r="C69" s="235">
        <f>IF(H69&gt;0,(1/PreHarvest!$E8)," ")</f>
        <v>35.454545454545453</v>
      </c>
      <c r="D69" s="140">
        <f>IF(H69&gt;0,(PreHarvest!$F8)," ")</f>
        <v>3</v>
      </c>
      <c r="E69" s="228">
        <f t="shared" si="10"/>
        <v>0.10576923076923078</v>
      </c>
      <c r="F69" s="228">
        <f>IF(H69&gt;0, (PreHarvest!$O8)," ")</f>
        <v>0.56619538461538466</v>
      </c>
      <c r="G69" s="229">
        <f>PreHarvest!$R8</f>
        <v>0.99824093406593417</v>
      </c>
      <c r="H69" s="229">
        <f>PreHarvest!$U8</f>
        <v>2.4070894813186814</v>
      </c>
    </row>
    <row r="70" spans="2:8" x14ac:dyDescent="0.25">
      <c r="B70" s="158" t="s">
        <v>426</v>
      </c>
      <c r="C70" s="159"/>
      <c r="D70" s="159"/>
      <c r="E70" s="160">
        <f>SUM(E64:E69)</f>
        <v>0.58865738469533113</v>
      </c>
      <c r="F70" s="160">
        <f>SUM(F64:F69)</f>
        <v>3.7901021145306411</v>
      </c>
      <c r="G70" s="161">
        <f>SUM(G64:G69)</f>
        <v>8.7056555961258137</v>
      </c>
      <c r="H70" s="161">
        <f>SUM(H64:H69)</f>
        <v>23.442134508551785</v>
      </c>
    </row>
    <row r="72" spans="2:8" x14ac:dyDescent="0.25">
      <c r="B72" s="57" t="s">
        <v>427</v>
      </c>
    </row>
    <row r="73" spans="2:8" ht="45" x14ac:dyDescent="0.25">
      <c r="B73" s="136" t="s">
        <v>420</v>
      </c>
      <c r="C73" s="137" t="s">
        <v>421</v>
      </c>
      <c r="D73" s="137" t="s">
        <v>422</v>
      </c>
      <c r="E73" s="137" t="s">
        <v>511</v>
      </c>
      <c r="F73" s="137" t="s">
        <v>423</v>
      </c>
      <c r="G73" s="137" t="s">
        <v>424</v>
      </c>
      <c r="H73" s="137" t="s">
        <v>425</v>
      </c>
    </row>
    <row r="74" spans="2:8" s="224" customFormat="1" ht="30" x14ac:dyDescent="0.25">
      <c r="B74" s="231" t="str">
        <f>IF(H74&gt;0,(CONCATENATE(Harvest!$C4," with ",Harvest!$M4))," ")</f>
        <v>Header Wheat/Sorghum 18' Rigid with Combine (200-249 hp) 240 hp</v>
      </c>
      <c r="C74" s="205">
        <f>IF(H74&gt;0,(1/Harvest!$E4)," ")</f>
        <v>6.4909090909090921</v>
      </c>
      <c r="D74" s="157">
        <f>IF(H74&gt;0,(Harvest!$F4)," ")</f>
        <v>1</v>
      </c>
      <c r="E74" s="204">
        <f t="shared" ref="E74:E75" si="11">IF(H74&gt;0,(1/C74*D74*1.25)," ")</f>
        <v>0.19257703081232491</v>
      </c>
      <c r="F74" s="204">
        <f>IF(H74&gt;0,(Harvest!$O4)," ")</f>
        <v>1.90266106442577</v>
      </c>
      <c r="G74" s="230">
        <f>Harvest!$R4</f>
        <v>5.3494047619047613</v>
      </c>
      <c r="H74" s="230">
        <f>Harvest!$U4</f>
        <v>30.716504761904755</v>
      </c>
    </row>
    <row r="75" spans="2:8" s="224" customFormat="1" ht="30" x14ac:dyDescent="0.25">
      <c r="B75" s="231" t="str">
        <f>IF(H75&gt;0,(CONCATENATE(Harvest!$C5," with ",Harvest!$M5))," ")</f>
        <v>Grain Cart Corn  500 bu with Tractor (120-139 hp) 2WD 130</v>
      </c>
      <c r="C75" s="205">
        <f>IF(H75&gt;0,(1/Harvest!$E5)," ")</f>
        <v>10.638297872340425</v>
      </c>
      <c r="D75" s="157">
        <f>IF(H75&gt;0,(Harvest!$F5)," ")</f>
        <v>1</v>
      </c>
      <c r="E75" s="204">
        <f t="shared" si="11"/>
        <v>0.11749999999999999</v>
      </c>
      <c r="F75" s="204">
        <f>IF(H75&gt;0,(Harvest!$O5)," ")</f>
        <v>0.62899159999999998</v>
      </c>
      <c r="G75" s="230">
        <f>Harvest!$R5</f>
        <v>1.3009146785714285</v>
      </c>
      <c r="H75" s="230">
        <f>Harvest!$U5</f>
        <v>3.5001133254285715</v>
      </c>
    </row>
    <row r="76" spans="2:8" ht="14.45" customHeight="1" x14ac:dyDescent="0.25">
      <c r="B76" s="158" t="s">
        <v>428</v>
      </c>
      <c r="C76" s="159"/>
      <c r="D76" s="159"/>
      <c r="E76" s="160">
        <f>SUM(E74:E75)</f>
        <v>0.31007703081232491</v>
      </c>
      <c r="F76" s="160">
        <f>SUM(F74:F75)</f>
        <v>2.5316526644257697</v>
      </c>
      <c r="G76" s="161">
        <f>SUM(G74:G75)</f>
        <v>6.6503194404761903</v>
      </c>
      <c r="H76" s="161">
        <f>SUM(H74:H75)</f>
        <v>34.216618087333323</v>
      </c>
    </row>
    <row r="77" spans="2:8" s="208" customFormat="1" x14ac:dyDescent="0.25">
      <c r="B77" s="209"/>
      <c r="C77" s="210"/>
      <c r="D77" s="210"/>
      <c r="E77" s="211"/>
      <c r="F77" s="211"/>
      <c r="G77" s="212"/>
      <c r="H77" s="212"/>
    </row>
    <row r="78" spans="2:8" ht="28.9" customHeight="1" x14ac:dyDescent="0.25">
      <c r="B78" s="261" t="s">
        <v>512</v>
      </c>
      <c r="C78" s="261"/>
      <c r="D78" s="261"/>
      <c r="E78" s="261"/>
      <c r="F78" s="261"/>
      <c r="G78" s="261"/>
      <c r="H78" s="261"/>
    </row>
    <row r="79" spans="2:8" ht="43.15" customHeight="1" x14ac:dyDescent="0.25">
      <c r="B79" s="213"/>
      <c r="C79" s="213"/>
      <c r="D79" s="213"/>
      <c r="E79" s="213"/>
      <c r="F79" s="213"/>
      <c r="G79" s="213"/>
      <c r="H79" s="213"/>
    </row>
    <row r="80" spans="2:8" ht="14.45" customHeight="1" x14ac:dyDescent="0.25">
      <c r="B80" s="255" t="s">
        <v>524</v>
      </c>
      <c r="C80" s="255"/>
      <c r="D80" s="255"/>
      <c r="E80" s="255"/>
      <c r="F80" s="255"/>
      <c r="G80" s="255"/>
      <c r="H80" s="255"/>
    </row>
    <row r="81" spans="2:8" x14ac:dyDescent="0.25">
      <c r="B81" s="256"/>
      <c r="C81" s="256"/>
      <c r="D81" s="256"/>
      <c r="E81" s="256"/>
      <c r="F81" s="256"/>
      <c r="G81" s="256"/>
      <c r="H81" s="256"/>
    </row>
    <row r="82" spans="2:8" x14ac:dyDescent="0.25">
      <c r="B82" s="150"/>
      <c r="C82" s="150"/>
      <c r="D82" s="150"/>
      <c r="E82" s="150"/>
      <c r="F82" s="150"/>
      <c r="G82" s="150"/>
      <c r="H82" s="150"/>
    </row>
  </sheetData>
  <mergeCells count="17">
    <mergeCell ref="B1:H1"/>
    <mergeCell ref="B4:H4"/>
    <mergeCell ref="B30:E30"/>
    <mergeCell ref="B2:H2"/>
    <mergeCell ref="B53:B54"/>
    <mergeCell ref="B61:H61"/>
    <mergeCell ref="B62:H62"/>
    <mergeCell ref="B80:H81"/>
    <mergeCell ref="B33:H33"/>
    <mergeCell ref="B40:E40"/>
    <mergeCell ref="B50:G50"/>
    <mergeCell ref="B51:G51"/>
    <mergeCell ref="B52:G52"/>
    <mergeCell ref="B48:H49"/>
    <mergeCell ref="B78:H78"/>
    <mergeCell ref="B46:H46"/>
    <mergeCell ref="B47:H47"/>
  </mergeCells>
  <conditionalFormatting sqref="C55:G5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1/2016&amp;R&amp;G</oddFooter>
  </headerFooter>
  <rowBreaks count="1" manualBreakCount="1">
    <brk id="49" min="1" max="7" man="1"/>
  </rowBreaks>
  <ignoredErrors>
    <ignoredError sqref="E70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F1"/>
    </sheetView>
  </sheetViews>
  <sheetFormatPr defaultRowHeight="15" x14ac:dyDescent="0.25"/>
  <cols>
    <col min="1" max="1" width="13.42578125" bestFit="1" customWidth="1"/>
    <col min="2" max="2" width="5.42578125" bestFit="1" customWidth="1"/>
    <col min="3" max="3" width="8.140625" bestFit="1" customWidth="1"/>
    <col min="4" max="4" width="8" bestFit="1" customWidth="1"/>
    <col min="5" max="5" width="9" bestFit="1" customWidth="1"/>
    <col min="6" max="6" width="8.85546875" bestFit="1" customWidth="1"/>
    <col min="8" max="8" width="20" bestFit="1" customWidth="1"/>
  </cols>
  <sheetData>
    <row r="1" spans="1:8" ht="14.45" x14ac:dyDescent="0.3">
      <c r="A1" s="267" t="s">
        <v>359</v>
      </c>
      <c r="B1" s="267"/>
      <c r="C1" s="267"/>
      <c r="D1" s="267"/>
      <c r="E1" s="267"/>
      <c r="F1" s="267"/>
    </row>
    <row r="2" spans="1:8" ht="14.45" x14ac:dyDescent="0.3">
      <c r="A2" s="98" t="s">
        <v>365</v>
      </c>
      <c r="B2" s="98" t="s">
        <v>366</v>
      </c>
      <c r="C2" s="98" t="s">
        <v>367</v>
      </c>
      <c r="D2" s="98" t="s">
        <v>368</v>
      </c>
      <c r="E2" s="98" t="s">
        <v>375</v>
      </c>
      <c r="F2" s="98" t="str">
        <f>CONCATENATE("$/",Main!$D$6)</f>
        <v>$/bushel</v>
      </c>
    </row>
    <row r="3" spans="1:8" x14ac:dyDescent="0.25">
      <c r="A3" s="99" t="s">
        <v>360</v>
      </c>
      <c r="B3" s="99" t="s">
        <v>493</v>
      </c>
      <c r="C3" s="99">
        <v>80</v>
      </c>
      <c r="D3" s="100">
        <v>0.5</v>
      </c>
      <c r="E3" s="101">
        <f>D3*C3</f>
        <v>40</v>
      </c>
      <c r="F3" s="102">
        <f t="shared" ref="F3:F9" si="0">E3/yield</f>
        <v>0.61538461538461542</v>
      </c>
    </row>
    <row r="4" spans="1:8" x14ac:dyDescent="0.25">
      <c r="A4" s="103" t="s">
        <v>361</v>
      </c>
      <c r="B4" s="103" t="s">
        <v>493</v>
      </c>
      <c r="C4" s="103">
        <v>40</v>
      </c>
      <c r="D4" s="101">
        <v>0.42</v>
      </c>
      <c r="E4" s="101">
        <f t="shared" ref="E4:E9" si="1">D4*C4</f>
        <v>16.8</v>
      </c>
      <c r="F4" s="102">
        <f t="shared" si="0"/>
        <v>0.25846153846153846</v>
      </c>
    </row>
    <row r="5" spans="1:8" x14ac:dyDescent="0.25">
      <c r="A5" s="103" t="s">
        <v>362</v>
      </c>
      <c r="B5" s="103" t="s">
        <v>493</v>
      </c>
      <c r="C5" s="103">
        <v>60</v>
      </c>
      <c r="D5" s="101">
        <v>0.34</v>
      </c>
      <c r="E5" s="101">
        <f t="shared" si="1"/>
        <v>20.400000000000002</v>
      </c>
      <c r="F5" s="102">
        <f t="shared" si="0"/>
        <v>0.31384615384615389</v>
      </c>
    </row>
    <row r="6" spans="1:8" x14ac:dyDescent="0.25">
      <c r="A6" s="103" t="s">
        <v>363</v>
      </c>
      <c r="B6" s="103" t="s">
        <v>385</v>
      </c>
      <c r="C6" s="103">
        <v>0.25</v>
      </c>
      <c r="D6" s="101">
        <v>45</v>
      </c>
      <c r="E6" s="101">
        <f t="shared" si="1"/>
        <v>11.25</v>
      </c>
      <c r="F6" s="102">
        <f t="shared" si="0"/>
        <v>0.17307692307692307</v>
      </c>
    </row>
    <row r="7" spans="1:8" ht="14.45" x14ac:dyDescent="0.3">
      <c r="A7" s="103" t="s">
        <v>364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364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364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7" t="s">
        <v>370</v>
      </c>
      <c r="B10" s="267"/>
      <c r="C10" s="267"/>
      <c r="D10" s="267"/>
      <c r="E10" s="79">
        <f>SUM(E3:E9)</f>
        <v>88.45</v>
      </c>
      <c r="F10" s="79">
        <f>SUM(F3:F9)</f>
        <v>1.360769230769231</v>
      </c>
      <c r="H10" s="156" t="s">
        <v>446</v>
      </c>
    </row>
    <row r="12" spans="1:8" x14ac:dyDescent="0.25">
      <c r="A12" s="268" t="s">
        <v>395</v>
      </c>
      <c r="B12" s="268"/>
      <c r="C12" s="268"/>
      <c r="D12" s="268"/>
      <c r="E12" s="268"/>
      <c r="F12" s="268"/>
    </row>
    <row r="13" spans="1:8" x14ac:dyDescent="0.25">
      <c r="A13" s="90" t="s">
        <v>365</v>
      </c>
      <c r="B13" s="90" t="s">
        <v>366</v>
      </c>
      <c r="C13" s="90" t="s">
        <v>367</v>
      </c>
      <c r="D13" s="90" t="s">
        <v>368</v>
      </c>
      <c r="E13" s="90" t="s">
        <v>375</v>
      </c>
      <c r="F13" s="90" t="str">
        <f>CONCATENATE("$/",Main!$D$6)</f>
        <v>$/bushel</v>
      </c>
    </row>
    <row r="14" spans="1:8" x14ac:dyDescent="0.25">
      <c r="A14" s="95" t="s">
        <v>494</v>
      </c>
      <c r="B14" s="91" t="s">
        <v>497</v>
      </c>
      <c r="C14" s="91">
        <v>1</v>
      </c>
      <c r="D14" s="92">
        <v>8.34</v>
      </c>
      <c r="E14" s="93">
        <f>D14*C14</f>
        <v>8.34</v>
      </c>
      <c r="F14" s="94">
        <f t="shared" ref="F14:F20" si="2">E14/yield</f>
        <v>0.12830769230769232</v>
      </c>
    </row>
    <row r="15" spans="1:8" x14ac:dyDescent="0.25">
      <c r="A15" s="95" t="s">
        <v>495</v>
      </c>
      <c r="B15" s="95" t="s">
        <v>498</v>
      </c>
      <c r="C15" s="95">
        <v>2</v>
      </c>
      <c r="D15" s="93">
        <v>3.12</v>
      </c>
      <c r="E15" s="93">
        <f t="shared" ref="E15:E20" si="3">D15*C15</f>
        <v>6.24</v>
      </c>
      <c r="F15" s="94">
        <f t="shared" si="2"/>
        <v>9.6000000000000002E-2</v>
      </c>
    </row>
    <row r="16" spans="1:8" x14ac:dyDescent="0.25">
      <c r="A16" s="247" t="s">
        <v>496</v>
      </c>
      <c r="B16" s="95" t="s">
        <v>499</v>
      </c>
      <c r="C16" s="95">
        <v>1</v>
      </c>
      <c r="D16" s="93">
        <v>1.8</v>
      </c>
      <c r="E16" s="93">
        <f t="shared" si="3"/>
        <v>1.8</v>
      </c>
      <c r="F16" s="94">
        <f t="shared" si="2"/>
        <v>2.7692307692307693E-2</v>
      </c>
    </row>
    <row r="17" spans="1:8" x14ac:dyDescent="0.25">
      <c r="A17" s="95" t="s">
        <v>364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364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364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364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8" t="s">
        <v>396</v>
      </c>
      <c r="B21" s="268"/>
      <c r="C21" s="268"/>
      <c r="D21" s="268"/>
      <c r="E21" s="80">
        <f>SUM(E14:E20)</f>
        <v>16.38</v>
      </c>
      <c r="F21" s="80">
        <f>SUM(F14:F20)</f>
        <v>0.252</v>
      </c>
      <c r="H21" s="156" t="s">
        <v>446</v>
      </c>
    </row>
    <row r="23" spans="1:8" x14ac:dyDescent="0.25">
      <c r="A23" s="270" t="s">
        <v>397</v>
      </c>
      <c r="B23" s="270"/>
      <c r="C23" s="270"/>
      <c r="D23" s="270"/>
      <c r="E23" s="270"/>
      <c r="F23" s="270"/>
    </row>
    <row r="24" spans="1:8" x14ac:dyDescent="0.25">
      <c r="A24" s="82" t="s">
        <v>365</v>
      </c>
      <c r="B24" s="82" t="s">
        <v>366</v>
      </c>
      <c r="C24" s="82" t="s">
        <v>367</v>
      </c>
      <c r="D24" s="82" t="s">
        <v>368</v>
      </c>
      <c r="E24" s="82" t="s">
        <v>375</v>
      </c>
      <c r="F24" s="82" t="str">
        <f>CONCATENATE("$/",Main!$D$6)</f>
        <v>$/bushel</v>
      </c>
    </row>
    <row r="25" spans="1:8" x14ac:dyDescent="0.25">
      <c r="A25" s="83" t="s">
        <v>527</v>
      </c>
      <c r="B25" s="83" t="s">
        <v>528</v>
      </c>
      <c r="C25" s="83">
        <v>4</v>
      </c>
      <c r="D25" s="84">
        <v>2.85</v>
      </c>
      <c r="E25" s="85">
        <f>D25*C25</f>
        <v>11.4</v>
      </c>
      <c r="F25" s="86">
        <f t="shared" ref="F25:F31" si="4">E25/yield</f>
        <v>0.17538461538461539</v>
      </c>
    </row>
    <row r="26" spans="1:8" x14ac:dyDescent="0.25">
      <c r="A26" s="87" t="s">
        <v>364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5">
      <c r="A27" s="87" t="s">
        <v>364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364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364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364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364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70" t="s">
        <v>398</v>
      </c>
      <c r="B32" s="270"/>
      <c r="C32" s="270"/>
      <c r="D32" s="270"/>
      <c r="E32" s="81">
        <f>SUM(E25:E31)</f>
        <v>11.4</v>
      </c>
      <c r="F32" s="81">
        <f>SUM(F25:F31)</f>
        <v>0.17538461538461539</v>
      </c>
      <c r="H32" s="156" t="s">
        <v>446</v>
      </c>
    </row>
    <row r="34" spans="1:8" x14ac:dyDescent="0.25">
      <c r="A34" s="269" t="s">
        <v>429</v>
      </c>
      <c r="B34" s="269"/>
      <c r="C34" s="269"/>
      <c r="D34" s="269"/>
      <c r="E34" s="269"/>
      <c r="F34" s="269"/>
    </row>
    <row r="35" spans="1:8" x14ac:dyDescent="0.25">
      <c r="A35" s="142" t="s">
        <v>365</v>
      </c>
      <c r="B35" s="142" t="s">
        <v>366</v>
      </c>
      <c r="C35" s="142" t="s">
        <v>367</v>
      </c>
      <c r="D35" s="142" t="s">
        <v>368</v>
      </c>
      <c r="E35" s="142" t="s">
        <v>375</v>
      </c>
      <c r="F35" s="142" t="str">
        <f>CONCATENATE("$/",Main!$D$6)</f>
        <v>$/bushel</v>
      </c>
    </row>
    <row r="36" spans="1:8" x14ac:dyDescent="0.25">
      <c r="A36" s="143" t="s">
        <v>364</v>
      </c>
      <c r="B36" s="143"/>
      <c r="C36" s="143"/>
      <c r="D36" s="144"/>
      <c r="E36" s="145">
        <f>D36*C36</f>
        <v>0</v>
      </c>
      <c r="F36" s="146">
        <f t="shared" ref="F36:F45" si="6">E36/yield</f>
        <v>0</v>
      </c>
    </row>
    <row r="37" spans="1:8" x14ac:dyDescent="0.25">
      <c r="A37" s="147" t="s">
        <v>364</v>
      </c>
      <c r="B37" s="147"/>
      <c r="C37" s="147"/>
      <c r="D37" s="145"/>
      <c r="E37" s="145">
        <f t="shared" ref="E37:E45" si="7">D37*C37</f>
        <v>0</v>
      </c>
      <c r="F37" s="146">
        <f t="shared" si="6"/>
        <v>0</v>
      </c>
    </row>
    <row r="38" spans="1:8" x14ac:dyDescent="0.25">
      <c r="A38" s="147" t="s">
        <v>364</v>
      </c>
      <c r="B38" s="147"/>
      <c r="C38" s="147"/>
      <c r="D38" s="145"/>
      <c r="E38" s="145">
        <f t="shared" ref="E38:E41" si="8">D38*C38</f>
        <v>0</v>
      </c>
      <c r="F38" s="146">
        <f t="shared" ref="F38:F41" si="9">E38/yield</f>
        <v>0</v>
      </c>
    </row>
    <row r="39" spans="1:8" x14ac:dyDescent="0.25">
      <c r="A39" s="147" t="s">
        <v>364</v>
      </c>
      <c r="B39" s="147"/>
      <c r="C39" s="147"/>
      <c r="D39" s="145"/>
      <c r="E39" s="145">
        <f t="shared" si="8"/>
        <v>0</v>
      </c>
      <c r="F39" s="146">
        <f t="shared" si="9"/>
        <v>0</v>
      </c>
    </row>
    <row r="40" spans="1:8" x14ac:dyDescent="0.25">
      <c r="A40" s="147" t="s">
        <v>364</v>
      </c>
      <c r="B40" s="147"/>
      <c r="C40" s="147"/>
      <c r="D40" s="145"/>
      <c r="E40" s="145">
        <f t="shared" si="8"/>
        <v>0</v>
      </c>
      <c r="F40" s="146">
        <f t="shared" si="9"/>
        <v>0</v>
      </c>
    </row>
    <row r="41" spans="1:8" x14ac:dyDescent="0.25">
      <c r="A41" s="147" t="s">
        <v>364</v>
      </c>
      <c r="B41" s="147"/>
      <c r="C41" s="147"/>
      <c r="D41" s="145"/>
      <c r="E41" s="145">
        <f t="shared" si="8"/>
        <v>0</v>
      </c>
      <c r="F41" s="146">
        <f t="shared" si="9"/>
        <v>0</v>
      </c>
    </row>
    <row r="42" spans="1:8" x14ac:dyDescent="0.25">
      <c r="A42" s="147" t="s">
        <v>364</v>
      </c>
      <c r="B42" s="147"/>
      <c r="C42" s="147"/>
      <c r="D42" s="145"/>
      <c r="E42" s="145">
        <f t="shared" si="7"/>
        <v>0</v>
      </c>
      <c r="F42" s="146">
        <f t="shared" si="6"/>
        <v>0</v>
      </c>
    </row>
    <row r="43" spans="1:8" x14ac:dyDescent="0.25">
      <c r="A43" s="147" t="s">
        <v>364</v>
      </c>
      <c r="B43" s="147"/>
      <c r="C43" s="147"/>
      <c r="D43" s="145"/>
      <c r="E43" s="145">
        <f t="shared" si="7"/>
        <v>0</v>
      </c>
      <c r="F43" s="146">
        <f t="shared" si="6"/>
        <v>0</v>
      </c>
    </row>
    <row r="44" spans="1:8" x14ac:dyDescent="0.25">
      <c r="A44" s="147" t="s">
        <v>364</v>
      </c>
      <c r="B44" s="147"/>
      <c r="C44" s="147"/>
      <c r="D44" s="145"/>
      <c r="E44" s="145">
        <f t="shared" si="7"/>
        <v>0</v>
      </c>
      <c r="F44" s="146">
        <f t="shared" si="6"/>
        <v>0</v>
      </c>
    </row>
    <row r="45" spans="1:8" x14ac:dyDescent="0.25">
      <c r="A45" s="148" t="s">
        <v>364</v>
      </c>
      <c r="B45" s="148"/>
      <c r="C45" s="148"/>
      <c r="D45" s="149"/>
      <c r="E45" s="145">
        <f t="shared" si="7"/>
        <v>0</v>
      </c>
      <c r="F45" s="146">
        <f t="shared" si="6"/>
        <v>0</v>
      </c>
    </row>
    <row r="46" spans="1:8" x14ac:dyDescent="0.25">
      <c r="A46" s="269" t="s">
        <v>430</v>
      </c>
      <c r="B46" s="269"/>
      <c r="C46" s="269"/>
      <c r="D46" s="269"/>
      <c r="E46" s="141">
        <f>SUM(E36:E45)</f>
        <v>0</v>
      </c>
      <c r="F46" s="141">
        <f>SUM(F36:F45)</f>
        <v>0</v>
      </c>
      <c r="H46" s="156" t="s">
        <v>446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4" bestFit="1" customWidth="1"/>
    <col min="13" max="13" width="22.5703125" style="17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54" t="s">
        <v>185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46" customFormat="1" ht="38.25" x14ac:dyDescent="0.2">
      <c r="A2" s="272" t="s">
        <v>172</v>
      </c>
      <c r="B2" s="42" t="s">
        <v>184</v>
      </c>
      <c r="C2" s="42" t="s">
        <v>456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455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432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3"/>
      <c r="B3" s="177" t="s">
        <v>519</v>
      </c>
      <c r="C3" s="233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6.1964999999999995</v>
      </c>
      <c r="I3" s="59">
        <f>H3*G3</f>
        <v>0.2608220663265306</v>
      </c>
      <c r="J3" s="59">
        <f t="shared" ref="J3:J14" si="4">IF(B3&gt;0,VLOOKUP($B3,pre_implement,31),0)</f>
        <v>17.052768</v>
      </c>
      <c r="K3" s="60">
        <f>J3*G3</f>
        <v>0.71778232653061225</v>
      </c>
      <c r="L3" s="174" t="s">
        <v>505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7.0161428571428575</v>
      </c>
      <c r="Q3" s="59">
        <f>P3*G3</f>
        <v>0.29532233965014576</v>
      </c>
      <c r="R3" s="59">
        <f>I3+Q3</f>
        <v>0.55614440597667636</v>
      </c>
      <c r="S3" s="59">
        <f t="shared" ref="S3:S14" si="8">IF(L3&gt;0,VLOOKUP($L3,tractor_data,24),0)</f>
        <v>20.552621142857141</v>
      </c>
      <c r="T3" s="59">
        <f>S3*G3</f>
        <v>0.86509757361516026</v>
      </c>
      <c r="U3" s="59">
        <f>T3+K3</f>
        <v>1.5828799001457725</v>
      </c>
    </row>
    <row r="4" spans="1:21" x14ac:dyDescent="0.25">
      <c r="A4" s="273"/>
      <c r="B4" s="177" t="s">
        <v>513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14.393333333333334</v>
      </c>
      <c r="I4" s="59">
        <f t="shared" ref="I4:I14" si="10">H4*G4</f>
        <v>0.88351934523809539</v>
      </c>
      <c r="J4" s="59">
        <f t="shared" si="4"/>
        <v>41.481586666666665</v>
      </c>
      <c r="K4" s="60">
        <f t="shared" ref="K4:K14" si="11">J4*G4</f>
        <v>2.5463027529761906</v>
      </c>
      <c r="L4" s="174" t="s">
        <v>504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12.167142857142858</v>
      </c>
      <c r="Q4" s="59">
        <f t="shared" ref="Q4:Q14" si="13">P4*G4</f>
        <v>0.74686702806122462</v>
      </c>
      <c r="R4" s="59">
        <f t="shared" ref="R4:R14" si="14">I4+Q4</f>
        <v>1.63038637329932</v>
      </c>
      <c r="S4" s="59">
        <f t="shared" si="8"/>
        <v>35.641617142857143</v>
      </c>
      <c r="T4" s="59">
        <f t="shared" ref="T4:T14" si="15">S4*G4</f>
        <v>2.187822480867347</v>
      </c>
      <c r="U4" s="59">
        <f t="shared" ref="U4:U14" si="16">T4+K4</f>
        <v>4.7341252338435371</v>
      </c>
    </row>
    <row r="5" spans="1:21" x14ac:dyDescent="0.25">
      <c r="A5" s="273"/>
      <c r="B5" s="177" t="s">
        <v>503</v>
      </c>
      <c r="C5" s="233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4.78125</v>
      </c>
      <c r="I5" s="59">
        <f t="shared" si="10"/>
        <v>0.13485576923076922</v>
      </c>
      <c r="J5" s="59">
        <f t="shared" si="4"/>
        <v>7.8948</v>
      </c>
      <c r="K5" s="60">
        <f t="shared" si="11"/>
        <v>0.22267384615384617</v>
      </c>
      <c r="L5" s="174" t="s">
        <v>505</v>
      </c>
      <c r="M5" s="232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7.0161428571428575</v>
      </c>
      <c r="Q5" s="59">
        <f t="shared" si="13"/>
        <v>0.19789120879120881</v>
      </c>
      <c r="R5" s="59">
        <f t="shared" si="14"/>
        <v>0.33274697802197806</v>
      </c>
      <c r="S5" s="59">
        <f t="shared" si="8"/>
        <v>20.552621142857141</v>
      </c>
      <c r="T5" s="59">
        <f t="shared" si="15"/>
        <v>0.57968931428571424</v>
      </c>
      <c r="U5" s="59">
        <f t="shared" si="16"/>
        <v>0.80236316043956046</v>
      </c>
    </row>
    <row r="6" spans="1:21" x14ac:dyDescent="0.25">
      <c r="A6" s="273"/>
      <c r="B6" s="177" t="s">
        <v>520</v>
      </c>
      <c r="C6" s="233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10.832400000000002</v>
      </c>
      <c r="I6" s="59">
        <f t="shared" si="10"/>
        <v>1.5761428571428573</v>
      </c>
      <c r="J6" s="59">
        <f t="shared" si="4"/>
        <v>33.135108000000002</v>
      </c>
      <c r="K6" s="60">
        <f t="shared" si="11"/>
        <v>4.8212458730158732</v>
      </c>
      <c r="L6" s="174" t="s">
        <v>504</v>
      </c>
      <c r="M6" s="232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12.167142857142858</v>
      </c>
      <c r="Q6" s="59">
        <f t="shared" si="13"/>
        <v>1.7703514739229025</v>
      </c>
      <c r="R6" s="59">
        <f t="shared" si="14"/>
        <v>3.3464943310657596</v>
      </c>
      <c r="S6" s="59">
        <f t="shared" si="8"/>
        <v>35.641617142857143</v>
      </c>
      <c r="T6" s="59">
        <f t="shared" si="15"/>
        <v>5.1859495842781556</v>
      </c>
      <c r="U6" s="59">
        <f t="shared" si="16"/>
        <v>10.007195457294028</v>
      </c>
    </row>
    <row r="7" spans="1:21" x14ac:dyDescent="0.25">
      <c r="A7" s="273"/>
      <c r="B7" s="177" t="s">
        <v>502</v>
      </c>
      <c r="C7" s="233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9.86</v>
      </c>
      <c r="I7" s="59">
        <f t="shared" si="10"/>
        <v>1.0759920634920637</v>
      </c>
      <c r="J7" s="59">
        <f t="shared" si="4"/>
        <v>15.263280000000002</v>
      </c>
      <c r="K7" s="60">
        <f t="shared" si="11"/>
        <v>1.6656357142857148</v>
      </c>
      <c r="L7" s="174" t="s">
        <v>505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7.0161428571428575</v>
      </c>
      <c r="Q7" s="59">
        <f t="shared" si="13"/>
        <v>0.76565051020408181</v>
      </c>
      <c r="R7" s="59">
        <f t="shared" si="14"/>
        <v>1.8416425736961455</v>
      </c>
      <c r="S7" s="59">
        <f t="shared" si="8"/>
        <v>20.552621142857141</v>
      </c>
      <c r="T7" s="59">
        <f t="shared" si="15"/>
        <v>2.24284556122449</v>
      </c>
      <c r="U7" s="59">
        <f t="shared" si="16"/>
        <v>3.908481275510205</v>
      </c>
    </row>
    <row r="8" spans="1:21" x14ac:dyDescent="0.25">
      <c r="A8" s="273"/>
      <c r="B8" s="177" t="s">
        <v>503</v>
      </c>
      <c r="C8" s="233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4.78125</v>
      </c>
      <c r="I8" s="59">
        <f t="shared" si="10"/>
        <v>0.4045673076923077</v>
      </c>
      <c r="J8" s="59">
        <f t="shared" si="4"/>
        <v>7.8948</v>
      </c>
      <c r="K8" s="60">
        <f t="shared" si="11"/>
        <v>0.66802153846153856</v>
      </c>
      <c r="L8" s="174" t="s">
        <v>505</v>
      </c>
      <c r="M8" s="232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7.0161428571428575</v>
      </c>
      <c r="Q8" s="59">
        <f t="shared" si="13"/>
        <v>0.59367362637362642</v>
      </c>
      <c r="R8" s="59">
        <f t="shared" si="14"/>
        <v>0.99824093406593417</v>
      </c>
      <c r="S8" s="59">
        <f t="shared" si="8"/>
        <v>20.552621142857141</v>
      </c>
      <c r="T8" s="59">
        <f t="shared" si="15"/>
        <v>1.7390679428571429</v>
      </c>
      <c r="U8" s="59">
        <f t="shared" si="16"/>
        <v>2.4070894813186814</v>
      </c>
    </row>
    <row r="9" spans="1:21" x14ac:dyDescent="0.25">
      <c r="A9" s="273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3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3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3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3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3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4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5"/>
      <c r="M15" s="175"/>
      <c r="N15" s="61"/>
      <c r="O15" s="62">
        <f>SUM(O3:O14)</f>
        <v>3.7901021145306411</v>
      </c>
      <c r="P15" s="61"/>
      <c r="Q15" s="63"/>
      <c r="R15" s="63">
        <f>SUM(R3:R14)</f>
        <v>8.7056555961258137</v>
      </c>
      <c r="S15" s="61"/>
      <c r="T15" s="63"/>
      <c r="U15" s="63">
        <f>SUM(U3:U14)</f>
        <v>23.442134508551785</v>
      </c>
    </row>
    <row r="16" spans="1:21" x14ac:dyDescent="0.25">
      <c r="B16" s="156" t="s">
        <v>446</v>
      </c>
      <c r="C16" s="156"/>
    </row>
    <row r="17" spans="1:14" x14ac:dyDescent="0.25">
      <c r="A17" s="51"/>
      <c r="B17" s="254" t="s">
        <v>178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124"/>
    </row>
    <row r="18" spans="1:14" s="48" customFormat="1" ht="38.25" x14ac:dyDescent="0.25">
      <c r="A18" s="271" t="s">
        <v>177</v>
      </c>
      <c r="B18" s="49" t="s">
        <v>186</v>
      </c>
      <c r="C18" s="188" t="s">
        <v>456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1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1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1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1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1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1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5">
      <c r="B25" s="156" t="s">
        <v>446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54" t="s">
        <v>196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54" customFormat="1" ht="41.45" x14ac:dyDescent="0.3">
      <c r="A2" s="55"/>
      <c r="B2" s="42" t="s">
        <v>195</v>
      </c>
      <c r="C2" s="42" t="s">
        <v>456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456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432</v>
      </c>
      <c r="S2" s="44" t="s">
        <v>191</v>
      </c>
      <c r="T2" s="44" t="s">
        <v>192</v>
      </c>
      <c r="U2" s="42" t="s">
        <v>171</v>
      </c>
    </row>
    <row r="3" spans="1:21" ht="14.45" x14ac:dyDescent="0.3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5" t="s">
        <v>207</v>
      </c>
      <c r="B4" s="174" t="s">
        <v>510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4.9725000000000001</v>
      </c>
      <c r="I4" s="59">
        <f t="shared" ref="I4:I10" si="6">H4*G4</f>
        <v>0.76607142857142851</v>
      </c>
      <c r="J4" s="59">
        <f t="shared" si="4"/>
        <v>10.26324</v>
      </c>
      <c r="K4" s="59">
        <f t="shared" ref="K4:K10" si="7">J4*G4</f>
        <v>1.5811714285714282</v>
      </c>
      <c r="L4" s="177" t="s">
        <v>507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29.75</v>
      </c>
      <c r="Q4" s="59">
        <f t="shared" ref="Q4:Q10" si="12">G4*P4</f>
        <v>4.583333333333333</v>
      </c>
      <c r="R4" s="65">
        <f t="shared" ref="R4:R10" si="13">I4+Q4</f>
        <v>5.3494047619047613</v>
      </c>
      <c r="S4" s="59">
        <f t="shared" ref="S4:S10" si="14">IF(L4&lt;&gt;"",VLOOKUP($L4,tractor_data,24),0)</f>
        <v>189.1148</v>
      </c>
      <c r="T4" s="59">
        <f t="shared" ref="T4:T10" si="15">S4*G4</f>
        <v>29.135333333333328</v>
      </c>
      <c r="U4" s="59">
        <f t="shared" ref="U4:U10" si="16">T4+K4</f>
        <v>30.716504761904755</v>
      </c>
    </row>
    <row r="5" spans="1:21" x14ac:dyDescent="0.25">
      <c r="A5" s="275"/>
      <c r="B5" s="174" t="s">
        <v>506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505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7.0161428571428575</v>
      </c>
      <c r="Q5" s="59">
        <f t="shared" si="12"/>
        <v>0.65951742857142859</v>
      </c>
      <c r="R5" s="68">
        <f t="shared" si="13"/>
        <v>1.3009146785714285</v>
      </c>
      <c r="S5" s="59">
        <f t="shared" si="14"/>
        <v>20.552621142857141</v>
      </c>
      <c r="T5" s="59">
        <f t="shared" si="15"/>
        <v>1.9319463874285714</v>
      </c>
      <c r="U5" s="59">
        <f t="shared" si="16"/>
        <v>3.5001133254285715</v>
      </c>
    </row>
    <row r="6" spans="1:21" x14ac:dyDescent="0.25">
      <c r="A6" s="275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5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5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5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4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6.6503194404761903</v>
      </c>
      <c r="S11" s="72"/>
      <c r="T11" s="75"/>
      <c r="U11" s="75">
        <f>SUM(U3:U10)</f>
        <v>34.216618087333323</v>
      </c>
    </row>
    <row r="12" spans="1:21" x14ac:dyDescent="0.25">
      <c r="B12" s="156" t="s">
        <v>446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C1" sqref="C1:E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5703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8" t="s">
        <v>459</v>
      </c>
      <c r="B1" s="279"/>
      <c r="C1" s="280" t="s">
        <v>130</v>
      </c>
      <c r="D1" s="281"/>
      <c r="E1" s="281"/>
      <c r="F1" s="218">
        <v>0.09</v>
      </c>
    </row>
    <row r="2" spans="1:35" ht="15.75" thickBot="1" x14ac:dyDescent="0.3">
      <c r="C2" s="282" t="s">
        <v>129</v>
      </c>
      <c r="D2" s="283"/>
      <c r="E2" s="283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7"/>
      <c r="E3" s="1"/>
      <c r="R3" s="276" t="s">
        <v>128</v>
      </c>
      <c r="S3" s="276"/>
      <c r="T3" s="276"/>
      <c r="U3" s="276"/>
      <c r="V3" s="276"/>
      <c r="W3" s="276"/>
      <c r="X3" s="277" t="s">
        <v>127</v>
      </c>
      <c r="Y3" s="277"/>
    </row>
    <row r="4" spans="1:35" s="15" customFormat="1" ht="11.25" x14ac:dyDescent="0.2">
      <c r="A4" s="26"/>
      <c r="B4" s="26" t="s">
        <v>125</v>
      </c>
      <c r="C4" s="165" t="s">
        <v>126</v>
      </c>
      <c r="D4" s="166" t="s">
        <v>453</v>
      </c>
      <c r="E4" s="167" t="s">
        <v>124</v>
      </c>
      <c r="F4" s="167" t="s">
        <v>123</v>
      </c>
      <c r="G4" s="167" t="s">
        <v>454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5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452</v>
      </c>
      <c r="E5" s="164" t="s">
        <v>470</v>
      </c>
      <c r="F5" s="164" t="s">
        <v>199</v>
      </c>
      <c r="G5" s="164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</row>
    <row r="6" spans="1:35" x14ac:dyDescent="0.25">
      <c r="A6" s="245">
        <v>66</v>
      </c>
      <c r="B6" s="1" t="str">
        <f t="shared" si="0"/>
        <v>0.02, Bed-Disk  (Hipper)  6R-30</v>
      </c>
      <c r="C6" s="168">
        <v>0.02</v>
      </c>
      <c r="D6" s="164" t="s">
        <v>452</v>
      </c>
      <c r="E6" s="164" t="s">
        <v>470</v>
      </c>
      <c r="F6" s="164" t="s">
        <v>53</v>
      </c>
      <c r="G6" s="164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</row>
    <row r="7" spans="1:35" x14ac:dyDescent="0.25">
      <c r="A7" s="245">
        <v>67</v>
      </c>
      <c r="B7" s="1" t="str">
        <f t="shared" si="0"/>
        <v>0.03, Bed-Disk  (Hipper)  6R-36</v>
      </c>
      <c r="C7" s="168">
        <v>0.03</v>
      </c>
      <c r="D7" s="164" t="s">
        <v>452</v>
      </c>
      <c r="E7" s="164" t="s">
        <v>470</v>
      </c>
      <c r="F7" s="164" t="s">
        <v>200</v>
      </c>
      <c r="G7" s="164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</row>
    <row r="8" spans="1:35" x14ac:dyDescent="0.25">
      <c r="A8" s="245">
        <v>68</v>
      </c>
      <c r="B8" s="1" t="str">
        <f t="shared" si="0"/>
        <v>0.04, Bed-Disk  (Hipper)  8R-30</v>
      </c>
      <c r="C8" s="168">
        <v>0.04</v>
      </c>
      <c r="D8" s="164" t="s">
        <v>452</v>
      </c>
      <c r="E8" s="164" t="s">
        <v>470</v>
      </c>
      <c r="F8" s="164" t="s">
        <v>25</v>
      </c>
      <c r="G8" s="164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</row>
    <row r="9" spans="1:35" x14ac:dyDescent="0.25">
      <c r="A9" s="245">
        <v>70</v>
      </c>
      <c r="B9" s="1" t="str">
        <f t="shared" si="0"/>
        <v>0.05, Bed-Disk  (Hipper) 10R-30</v>
      </c>
      <c r="C9" s="168">
        <v>0.05</v>
      </c>
      <c r="D9" s="164" t="s">
        <v>452</v>
      </c>
      <c r="E9" s="164" t="s">
        <v>470</v>
      </c>
      <c r="F9" s="164" t="s">
        <v>24</v>
      </c>
      <c r="G9" s="164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</row>
    <row r="10" spans="1:35" x14ac:dyDescent="0.25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452</v>
      </c>
      <c r="E10" s="164" t="s">
        <v>470</v>
      </c>
      <c r="F10" s="164" t="s">
        <v>6</v>
      </c>
      <c r="G10" s="164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</row>
    <row r="11" spans="1:35" x14ac:dyDescent="0.25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452</v>
      </c>
      <c r="E11" s="164" t="s">
        <v>470</v>
      </c>
      <c r="F11" s="164" t="s">
        <v>202</v>
      </c>
      <c r="G11" s="164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</row>
    <row r="12" spans="1:35" x14ac:dyDescent="0.25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452</v>
      </c>
      <c r="E12" s="164" t="s">
        <v>470</v>
      </c>
      <c r="F12" s="164" t="s">
        <v>201</v>
      </c>
      <c r="G12" s="164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</row>
    <row r="13" spans="1:35" x14ac:dyDescent="0.25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452</v>
      </c>
      <c r="E13" s="164" t="s">
        <v>470</v>
      </c>
      <c r="F13" s="164" t="s">
        <v>198</v>
      </c>
      <c r="G13" s="164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</row>
    <row r="14" spans="1:35" x14ac:dyDescent="0.25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452</v>
      </c>
      <c r="E14" s="164" t="s">
        <v>471</v>
      </c>
      <c r="F14" s="164" t="s">
        <v>197</v>
      </c>
      <c r="G14" s="164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</row>
    <row r="15" spans="1:35" x14ac:dyDescent="0.25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452</v>
      </c>
      <c r="E15" s="164" t="s">
        <v>472</v>
      </c>
      <c r="F15" s="164" t="s">
        <v>197</v>
      </c>
      <c r="G15" s="164" t="str">
        <f t="shared" si="1"/>
        <v>Bed-Disk  (Hipper) Rd  8R-36</v>
      </c>
      <c r="H15" s="30">
        <v>20196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</row>
    <row r="16" spans="1:35" x14ac:dyDescent="0.25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452</v>
      </c>
      <c r="E16" s="164" t="s">
        <v>468</v>
      </c>
      <c r="F16" s="164" t="s">
        <v>25</v>
      </c>
      <c r="G16" s="164" t="str">
        <f t="shared" si="1"/>
        <v>Bed-Disk  w/roller 8R-30</v>
      </c>
      <c r="H16" s="30">
        <v>22542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</row>
    <row r="17" spans="1:35" x14ac:dyDescent="0.25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452</v>
      </c>
      <c r="E17" s="164" t="s">
        <v>468</v>
      </c>
      <c r="F17" s="164" t="s">
        <v>197</v>
      </c>
      <c r="G17" s="164" t="str">
        <f t="shared" si="1"/>
        <v>Bed-Disk  w/roller 8R-36</v>
      </c>
      <c r="H17" s="30">
        <v>25908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</row>
    <row r="18" spans="1:35" x14ac:dyDescent="0.25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452</v>
      </c>
      <c r="E18" s="164" t="s">
        <v>468</v>
      </c>
      <c r="F18" s="164" t="s">
        <v>469</v>
      </c>
      <c r="G18" s="164" t="str">
        <f t="shared" si="1"/>
        <v>Bed-Disk  w/roller 12R-30</v>
      </c>
      <c r="H18" s="30">
        <v>48144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</row>
    <row r="19" spans="1:35" x14ac:dyDescent="0.25">
      <c r="A19" s="245">
        <v>594</v>
      </c>
      <c r="B19" s="1" t="str">
        <f t="shared" si="0"/>
        <v>0.15, Bed-Middle Buster 4R-36</v>
      </c>
      <c r="C19" s="168">
        <v>0.15</v>
      </c>
      <c r="D19" s="164" t="s">
        <v>452</v>
      </c>
      <c r="E19" s="164" t="s">
        <v>473</v>
      </c>
      <c r="F19" s="164" t="s">
        <v>199</v>
      </c>
      <c r="G19" s="164" t="str">
        <f t="shared" si="1"/>
        <v>Bed-Middle Buster 4R-36</v>
      </c>
      <c r="H19" s="30">
        <v>18564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</row>
    <row r="20" spans="1:35" x14ac:dyDescent="0.25">
      <c r="A20" s="245">
        <v>119</v>
      </c>
      <c r="B20" s="1" t="str">
        <f t="shared" si="0"/>
        <v>0.16, Bed-Middle Buster 6R-36</v>
      </c>
      <c r="C20" s="168">
        <v>0.16</v>
      </c>
      <c r="D20" s="164" t="s">
        <v>452</v>
      </c>
      <c r="E20" s="164" t="s">
        <v>473</v>
      </c>
      <c r="F20" s="164" t="s">
        <v>200</v>
      </c>
      <c r="G20" s="164" t="str">
        <f t="shared" si="1"/>
        <v>Bed-Middle Buster 6R-36</v>
      </c>
      <c r="H20" s="30">
        <v>15810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</row>
    <row r="21" spans="1:35" s="13" customFormat="1" x14ac:dyDescent="0.25">
      <c r="A21" s="245">
        <v>120</v>
      </c>
      <c r="B21" s="1" t="str">
        <f t="shared" si="0"/>
        <v>0.17, Bed-Middle Buster 8R-30</v>
      </c>
      <c r="C21" s="168">
        <v>0.17</v>
      </c>
      <c r="D21" s="164" t="s">
        <v>452</v>
      </c>
      <c r="E21" s="164" t="s">
        <v>473</v>
      </c>
      <c r="F21" s="164" t="s">
        <v>25</v>
      </c>
      <c r="G21" s="164" t="str">
        <f t="shared" si="1"/>
        <v>Bed-Middle Buster 8R-30</v>
      </c>
      <c r="H21" s="250">
        <v>22848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22"/>
      <c r="AH21" s="222"/>
      <c r="AI21" s="222"/>
    </row>
    <row r="22" spans="1:35" x14ac:dyDescent="0.25">
      <c r="A22" s="245">
        <v>121</v>
      </c>
      <c r="B22" s="1" t="str">
        <f t="shared" si="0"/>
        <v>0.18, Bed-Middle Buster 8R-36</v>
      </c>
      <c r="C22" s="168">
        <v>0.18</v>
      </c>
      <c r="D22" s="164" t="s">
        <v>452</v>
      </c>
      <c r="E22" s="164" t="s">
        <v>473</v>
      </c>
      <c r="F22" s="164" t="s">
        <v>197</v>
      </c>
      <c r="G22" s="164" t="str">
        <f t="shared" si="1"/>
        <v>Bed-Middle Buster 8R-36</v>
      </c>
      <c r="H22" s="250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</row>
    <row r="23" spans="1:35" x14ac:dyDescent="0.25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452</v>
      </c>
      <c r="E23" s="164" t="s">
        <v>473</v>
      </c>
      <c r="F23" s="164" t="s">
        <v>201</v>
      </c>
      <c r="G23" s="164" t="str">
        <f t="shared" si="1"/>
        <v>Bed-Middle Buster 8R-36 2x1</v>
      </c>
      <c r="H23" s="250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</row>
    <row r="24" spans="1:35" x14ac:dyDescent="0.25">
      <c r="A24" s="245">
        <v>122</v>
      </c>
      <c r="B24" s="1" t="str">
        <f t="shared" si="0"/>
        <v>0.2, Bed-Middle Buster 10R-30</v>
      </c>
      <c r="C24" s="168">
        <v>0.2</v>
      </c>
      <c r="D24" s="164" t="s">
        <v>452</v>
      </c>
      <c r="E24" s="164" t="s">
        <v>474</v>
      </c>
      <c r="F24" s="164" t="s">
        <v>24</v>
      </c>
      <c r="G24" s="164" t="str">
        <f t="shared" si="1"/>
        <v>Bed-Middle Buster 10R-30</v>
      </c>
      <c r="H24" s="250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</row>
    <row r="25" spans="1:35" x14ac:dyDescent="0.25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452</v>
      </c>
      <c r="E25" s="164" t="s">
        <v>474</v>
      </c>
      <c r="F25" s="164" t="s">
        <v>202</v>
      </c>
      <c r="G25" s="164" t="str">
        <f t="shared" si="1"/>
        <v>Bed-Middle Buster 10R-36</v>
      </c>
      <c r="H25" s="250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</row>
    <row r="26" spans="1:35" x14ac:dyDescent="0.25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452</v>
      </c>
      <c r="E26" s="164" t="s">
        <v>474</v>
      </c>
      <c r="F26" s="164" t="s">
        <v>198</v>
      </c>
      <c r="G26" s="164" t="str">
        <f t="shared" si="1"/>
        <v>Bed-Middle Buster 12R-36</v>
      </c>
      <c r="H26" s="250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</row>
    <row r="27" spans="1:35" x14ac:dyDescent="0.25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452</v>
      </c>
      <c r="E27" s="164" t="s">
        <v>475</v>
      </c>
      <c r="F27" s="164" t="s">
        <v>197</v>
      </c>
      <c r="G27" s="164" t="str">
        <f t="shared" si="1"/>
        <v>Bed-Paratill   Fold 8R-36</v>
      </c>
      <c r="H27" s="250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</row>
    <row r="28" spans="1:35" x14ac:dyDescent="0.25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452</v>
      </c>
      <c r="E28" s="164" t="s">
        <v>475</v>
      </c>
      <c r="F28" s="164" t="s">
        <v>24</v>
      </c>
      <c r="G28" s="164" t="str">
        <f t="shared" si="1"/>
        <v>Bed-Paratill   Fold10R-30</v>
      </c>
      <c r="H28" s="251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</row>
    <row r="29" spans="1:35" x14ac:dyDescent="0.25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452</v>
      </c>
      <c r="E29" s="164" t="s">
        <v>475</v>
      </c>
      <c r="F29" s="164" t="s">
        <v>201</v>
      </c>
      <c r="G29" s="164" t="str">
        <f t="shared" si="1"/>
        <v>Bed-Paratill   Fold 8R-36 2x1</v>
      </c>
      <c r="H29" s="250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</row>
    <row r="30" spans="1:35" x14ac:dyDescent="0.25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452</v>
      </c>
      <c r="E30" s="164" t="s">
        <v>475</v>
      </c>
      <c r="F30" s="164" t="s">
        <v>198</v>
      </c>
      <c r="G30" s="164" t="str">
        <f t="shared" si="1"/>
        <v>Bed-Paratill   Fold12R-36</v>
      </c>
      <c r="H30" s="250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</row>
    <row r="31" spans="1:35" x14ac:dyDescent="0.25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452</v>
      </c>
      <c r="E31" s="164" t="s">
        <v>476</v>
      </c>
      <c r="F31" s="164" t="s">
        <v>48</v>
      </c>
      <c r="G31" s="164" t="str">
        <f t="shared" si="1"/>
        <v>Bed-Paratill   Rigid 4R-30</v>
      </c>
      <c r="H31" s="250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</row>
    <row r="32" spans="1:35" x14ac:dyDescent="0.25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452</v>
      </c>
      <c r="E32" s="164" t="s">
        <v>476</v>
      </c>
      <c r="F32" s="164" t="s">
        <v>199</v>
      </c>
      <c r="G32" s="164" t="str">
        <f t="shared" si="1"/>
        <v>Bed-Paratill   Rigid 4R-36</v>
      </c>
      <c r="H32" s="250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</row>
    <row r="33" spans="1:32" x14ac:dyDescent="0.25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452</v>
      </c>
      <c r="E33" s="164" t="s">
        <v>476</v>
      </c>
      <c r="F33" s="164" t="s">
        <v>53</v>
      </c>
      <c r="G33" s="164" t="str">
        <f t="shared" si="1"/>
        <v>Bed-Paratill   Rigid 6R-30</v>
      </c>
      <c r="H33" s="250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</row>
    <row r="34" spans="1:32" x14ac:dyDescent="0.25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452</v>
      </c>
      <c r="E34" s="164" t="s">
        <v>476</v>
      </c>
      <c r="F34" s="164" t="s">
        <v>200</v>
      </c>
      <c r="G34" s="164" t="str">
        <f t="shared" si="1"/>
        <v>Bed-Paratill   Rigid 6R-36</v>
      </c>
      <c r="H34" s="250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</row>
    <row r="35" spans="1:32" x14ac:dyDescent="0.25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452</v>
      </c>
      <c r="E35" s="164" t="s">
        <v>476</v>
      </c>
      <c r="F35" s="164" t="s">
        <v>25</v>
      </c>
      <c r="G35" s="164" t="str">
        <f t="shared" si="1"/>
        <v>Bed-Paratill   Rigid 8R-30</v>
      </c>
      <c r="H35" s="250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</row>
    <row r="36" spans="1:32" x14ac:dyDescent="0.25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452</v>
      </c>
      <c r="E36" s="164" t="s">
        <v>476</v>
      </c>
      <c r="F36" s="164" t="s">
        <v>197</v>
      </c>
      <c r="G36" s="164" t="str">
        <f t="shared" si="1"/>
        <v>Bed-Paratill   Rigid 8R-36</v>
      </c>
      <c r="H36" s="250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</row>
    <row r="37" spans="1:32" x14ac:dyDescent="0.25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452</v>
      </c>
      <c r="E37" s="164" t="s">
        <v>476</v>
      </c>
      <c r="F37" s="164" t="s">
        <v>24</v>
      </c>
      <c r="G37" s="164" t="str">
        <f t="shared" si="1"/>
        <v>Bed-Paratill   Rigid10R-30</v>
      </c>
      <c r="H37" s="250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</row>
    <row r="38" spans="1:32" x14ac:dyDescent="0.25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452</v>
      </c>
      <c r="E38" s="164" t="s">
        <v>477</v>
      </c>
      <c r="F38" s="164" t="s">
        <v>0</v>
      </c>
      <c r="G38" s="164" t="str">
        <f t="shared" si="1"/>
        <v>Bed-Paratill  w/rol4R-30</v>
      </c>
      <c r="H38" s="250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</row>
    <row r="39" spans="1:32" x14ac:dyDescent="0.25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452</v>
      </c>
      <c r="E39" s="164" t="s">
        <v>485</v>
      </c>
      <c r="F39" s="164" t="s">
        <v>73</v>
      </c>
      <c r="G39" s="164" t="str">
        <f t="shared" si="1"/>
        <v>Bed-Paratill  w/roll 4R-36</v>
      </c>
      <c r="H39" s="250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</row>
    <row r="40" spans="1:32" x14ac:dyDescent="0.25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452</v>
      </c>
      <c r="E40" s="164" t="s">
        <v>485</v>
      </c>
      <c r="F40" s="164" t="s">
        <v>204</v>
      </c>
      <c r="G40" s="164" t="str">
        <f t="shared" si="1"/>
        <v>Bed-Paratill  w/roll 6R-36</v>
      </c>
      <c r="H40" s="250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</row>
    <row r="41" spans="1:32" x14ac:dyDescent="0.25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452</v>
      </c>
      <c r="E41" s="164" t="s">
        <v>478</v>
      </c>
      <c r="F41" s="164" t="s">
        <v>197</v>
      </c>
      <c r="G41" s="164" t="str">
        <f t="shared" si="1"/>
        <v>Bed-Rip/Disk Fold. 8R-36</v>
      </c>
      <c r="H41" s="250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</row>
    <row r="42" spans="1:32" x14ac:dyDescent="0.25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452</v>
      </c>
      <c r="E42" s="164" t="s">
        <v>478</v>
      </c>
      <c r="F42" s="164" t="s">
        <v>6</v>
      </c>
      <c r="G42" s="164" t="str">
        <f t="shared" si="1"/>
        <v>Bed-Rip/Disk Fold.12R-30</v>
      </c>
      <c r="H42" s="250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</row>
    <row r="43" spans="1:32" x14ac:dyDescent="0.25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452</v>
      </c>
      <c r="E43" s="164" t="s">
        <v>478</v>
      </c>
      <c r="F43" s="164" t="s">
        <v>198</v>
      </c>
      <c r="G43" s="164" t="str">
        <f t="shared" si="1"/>
        <v>Bed-Rip/Disk Fold.12R-36</v>
      </c>
      <c r="H43" s="250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</row>
    <row r="44" spans="1:32" x14ac:dyDescent="0.25">
      <c r="A44" s="245">
        <v>607</v>
      </c>
      <c r="B44" s="1" t="str">
        <f t="shared" si="0"/>
        <v>0.4, Bed-Rip/Disk Rigid 4R-30</v>
      </c>
      <c r="C44" s="168">
        <v>0.4</v>
      </c>
      <c r="D44" s="164" t="s">
        <v>452</v>
      </c>
      <c r="E44" s="164" t="s">
        <v>479</v>
      </c>
      <c r="F44" s="164" t="s">
        <v>48</v>
      </c>
      <c r="G44" s="164" t="str">
        <f t="shared" si="1"/>
        <v>Bed-Rip/Disk Rigid 4R-30</v>
      </c>
      <c r="H44" s="250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</row>
    <row r="45" spans="1:32" x14ac:dyDescent="0.25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452</v>
      </c>
      <c r="E45" s="164" t="s">
        <v>479</v>
      </c>
      <c r="F45" s="164" t="s">
        <v>199</v>
      </c>
      <c r="G45" s="164" t="str">
        <f t="shared" si="1"/>
        <v>Bed-Rip/Disk Rigid 4R-36</v>
      </c>
      <c r="H45" s="250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</row>
    <row r="46" spans="1:32" x14ac:dyDescent="0.25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452</v>
      </c>
      <c r="E46" s="164" t="s">
        <v>479</v>
      </c>
      <c r="F46" s="164" t="s">
        <v>25</v>
      </c>
      <c r="G46" s="164" t="str">
        <f t="shared" si="1"/>
        <v>Bed-Rip/Disk Rigid 8R-30</v>
      </c>
      <c r="H46" s="250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</row>
    <row r="47" spans="1:32" x14ac:dyDescent="0.25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452</v>
      </c>
      <c r="E47" s="164" t="s">
        <v>479</v>
      </c>
      <c r="F47" s="164" t="s">
        <v>200</v>
      </c>
      <c r="G47" s="164" t="str">
        <f t="shared" si="1"/>
        <v>Bed-Rip/Disk Rigid 6R-36</v>
      </c>
      <c r="H47" s="250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</row>
    <row r="48" spans="1:32" x14ac:dyDescent="0.25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452</v>
      </c>
      <c r="E48" s="164" t="s">
        <v>479</v>
      </c>
      <c r="F48" s="164" t="s">
        <v>197</v>
      </c>
      <c r="G48" s="164" t="str">
        <f t="shared" si="1"/>
        <v>Bed-Rip/Disk Rigid 8R-36</v>
      </c>
      <c r="H48" s="250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</row>
    <row r="49" spans="1:35" x14ac:dyDescent="0.25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452</v>
      </c>
      <c r="E49" s="164" t="s">
        <v>480</v>
      </c>
      <c r="F49" s="164" t="s">
        <v>47</v>
      </c>
      <c r="G49" s="164" t="str">
        <f t="shared" si="1"/>
        <v>Bed-Rip/Disk Rigid 6R-30</v>
      </c>
      <c r="H49" s="250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</row>
    <row r="50" spans="1:35" x14ac:dyDescent="0.25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452</v>
      </c>
      <c r="E50" s="164" t="s">
        <v>481</v>
      </c>
      <c r="F50" s="164" t="s">
        <v>46</v>
      </c>
      <c r="G50" s="164" t="str">
        <f t="shared" si="1"/>
        <v>Bed-Rip/Disk/Cond. 6-Row</v>
      </c>
      <c r="H50" s="250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</row>
    <row r="51" spans="1:35" x14ac:dyDescent="0.25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452</v>
      </c>
      <c r="E51" s="164" t="s">
        <v>481</v>
      </c>
      <c r="F51" s="164" t="s">
        <v>45</v>
      </c>
      <c r="G51" s="164" t="str">
        <f t="shared" si="1"/>
        <v>Bed-Rip/Disk/Cond. 8-Row</v>
      </c>
      <c r="H51" s="250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</row>
    <row r="52" spans="1:35" x14ac:dyDescent="0.25">
      <c r="A52" s="245">
        <v>510</v>
      </c>
      <c r="B52" s="1" t="str">
        <f t="shared" si="0"/>
        <v>0.48, Bed-Roll-Fold. 8R-36</v>
      </c>
      <c r="C52" s="168">
        <v>0.48</v>
      </c>
      <c r="D52" s="164" t="s">
        <v>452</v>
      </c>
      <c r="E52" s="164" t="s">
        <v>482</v>
      </c>
      <c r="F52" s="164" t="s">
        <v>197</v>
      </c>
      <c r="G52" s="164" t="str">
        <f t="shared" si="1"/>
        <v>Bed-Roll-Fold. 8R-36</v>
      </c>
      <c r="H52" s="251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</row>
    <row r="53" spans="1:35" x14ac:dyDescent="0.25">
      <c r="A53" s="245">
        <v>512</v>
      </c>
      <c r="B53" s="1" t="str">
        <f t="shared" si="0"/>
        <v>0.49, Bed-Roll-Fold. 12R-30</v>
      </c>
      <c r="C53" s="168">
        <v>0.49</v>
      </c>
      <c r="D53" s="164" t="s">
        <v>452</v>
      </c>
      <c r="E53" s="164" t="s">
        <v>483</v>
      </c>
      <c r="F53" s="164" t="s">
        <v>6</v>
      </c>
      <c r="G53" s="164" t="str">
        <f t="shared" si="1"/>
        <v>Bed-Roll-Fold. 12R-30</v>
      </c>
      <c r="H53" s="251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</row>
    <row r="54" spans="1:35" x14ac:dyDescent="0.25">
      <c r="A54" s="245">
        <v>513</v>
      </c>
      <c r="B54" s="1" t="str">
        <f t="shared" si="0"/>
        <v>0.5, Bed-Roll-Fold. 12R-36</v>
      </c>
      <c r="C54" s="168">
        <v>0.5</v>
      </c>
      <c r="D54" s="164" t="s">
        <v>452</v>
      </c>
      <c r="E54" s="164" t="s">
        <v>483</v>
      </c>
      <c r="F54" s="164" t="s">
        <v>198</v>
      </c>
      <c r="G54" s="164" t="str">
        <f t="shared" si="1"/>
        <v>Bed-Roll-Fold. 12R-36</v>
      </c>
      <c r="H54" s="251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</row>
    <row r="55" spans="1:35" x14ac:dyDescent="0.25">
      <c r="A55" s="245">
        <v>514</v>
      </c>
      <c r="B55" s="1" t="str">
        <f t="shared" si="0"/>
        <v>0.51, Bed-Roll-Fold. 16R-30</v>
      </c>
      <c r="C55" s="168">
        <v>0.51</v>
      </c>
      <c r="D55" s="164" t="s">
        <v>452</v>
      </c>
      <c r="E55" s="164" t="s">
        <v>483</v>
      </c>
      <c r="F55" s="164" t="s">
        <v>59</v>
      </c>
      <c r="G55" s="164" t="str">
        <f t="shared" si="1"/>
        <v>Bed-Roll-Fold. 16R-30</v>
      </c>
      <c r="H55" s="251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</row>
    <row r="56" spans="1:35" x14ac:dyDescent="0.25">
      <c r="A56" s="245">
        <v>511</v>
      </c>
      <c r="B56" s="1" t="str">
        <f t="shared" si="0"/>
        <v>0.52, Bed-Roll-Rigid  8R-36</v>
      </c>
      <c r="C56" s="168">
        <v>0.52</v>
      </c>
      <c r="D56" s="164" t="s">
        <v>452</v>
      </c>
      <c r="E56" s="164" t="s">
        <v>484</v>
      </c>
      <c r="F56" s="164" t="s">
        <v>197</v>
      </c>
      <c r="G56" s="164" t="str">
        <f t="shared" si="1"/>
        <v>Bed-Roll-Rigid  8R-36</v>
      </c>
      <c r="H56" s="251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</row>
    <row r="57" spans="1:35" x14ac:dyDescent="0.25">
      <c r="A57" s="245">
        <v>418</v>
      </c>
      <c r="B57" s="1" t="str">
        <f t="shared" si="0"/>
        <v>0.53, Blade-Box  6'-7'</v>
      </c>
      <c r="C57" s="168">
        <v>0.53</v>
      </c>
      <c r="D57" s="164" t="s">
        <v>452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</row>
    <row r="58" spans="1:35" x14ac:dyDescent="0.25">
      <c r="A58" s="245">
        <v>473</v>
      </c>
      <c r="B58" s="1" t="str">
        <f t="shared" si="0"/>
        <v>0.54, Blade-Box  8'-10'</v>
      </c>
      <c r="C58" s="168">
        <v>0.54</v>
      </c>
      <c r="D58" s="164" t="s">
        <v>452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</row>
    <row r="59" spans="1:35" x14ac:dyDescent="0.2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452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</row>
    <row r="60" spans="1:35" x14ac:dyDescent="0.2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452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</row>
    <row r="61" spans="1:35" x14ac:dyDescent="0.2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452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</row>
    <row r="62" spans="1:35" x14ac:dyDescent="0.2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452</v>
      </c>
      <c r="E62" s="164" t="s">
        <v>266</v>
      </c>
      <c r="F62" s="164" t="s">
        <v>95</v>
      </c>
      <c r="G62" s="164" t="str">
        <f t="shared" si="1"/>
        <v>Blade-Scraper 12'-16'</v>
      </c>
      <c r="H62" s="252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</row>
    <row r="63" spans="1:35" x14ac:dyDescent="0.25">
      <c r="A63" s="245">
        <v>5</v>
      </c>
      <c r="B63" s="1" t="str">
        <f t="shared" si="0"/>
        <v>0.59, Chisel Plow-Folding 16'</v>
      </c>
      <c r="C63" s="168">
        <v>0.59</v>
      </c>
      <c r="D63" s="164" t="s">
        <v>452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13"/>
      <c r="AH63" s="13"/>
      <c r="AI63" s="13"/>
    </row>
    <row r="64" spans="1:35" x14ac:dyDescent="0.25">
      <c r="A64" s="245">
        <v>408</v>
      </c>
      <c r="B64" s="1" t="str">
        <f t="shared" si="0"/>
        <v>0.6, Chisel Plow-Folding 24'</v>
      </c>
      <c r="C64" s="168">
        <v>0.6</v>
      </c>
      <c r="D64" s="164" t="s">
        <v>452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</row>
    <row r="65" spans="1:32" x14ac:dyDescent="0.25">
      <c r="A65" s="245">
        <v>7</v>
      </c>
      <c r="B65" s="1" t="str">
        <f t="shared" si="0"/>
        <v>0.61, Chisel Plow-Folding 32'</v>
      </c>
      <c r="C65" s="168">
        <v>0.61</v>
      </c>
      <c r="D65" s="164" t="s">
        <v>452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</row>
    <row r="66" spans="1:32" x14ac:dyDescent="0.25">
      <c r="A66" s="245">
        <v>230</v>
      </c>
      <c r="B66" s="1" t="str">
        <f t="shared" si="0"/>
        <v>0.62, Chisel Plow-Folding 42'</v>
      </c>
      <c r="C66" s="168">
        <v>0.62</v>
      </c>
      <c r="D66" s="164" t="s">
        <v>452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</row>
    <row r="67" spans="1:32" x14ac:dyDescent="0.25">
      <c r="A67" s="245">
        <v>651</v>
      </c>
      <c r="B67" s="1" t="str">
        <f t="shared" si="0"/>
        <v>0.63, Chisel Plow-Folding 50'</v>
      </c>
      <c r="C67" s="168">
        <v>0.63</v>
      </c>
      <c r="D67" s="164" t="s">
        <v>452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</row>
    <row r="68" spans="1:32" x14ac:dyDescent="0.25">
      <c r="A68" s="245">
        <v>702</v>
      </c>
      <c r="B68" s="1" t="str">
        <f t="shared" si="0"/>
        <v>0.64, Chisel Plow-Folding 61'</v>
      </c>
      <c r="C68" s="168">
        <v>0.64</v>
      </c>
      <c r="D68" s="164" t="s">
        <v>452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</row>
    <row r="69" spans="1:32" x14ac:dyDescent="0.25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452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</row>
    <row r="70" spans="1:32" x14ac:dyDescent="0.25">
      <c r="A70" s="245">
        <v>4</v>
      </c>
      <c r="B70" s="1" t="str">
        <f t="shared" si="15"/>
        <v>0.66, Chisel Plow-Rigid 15'</v>
      </c>
      <c r="C70" s="168">
        <v>0.66</v>
      </c>
      <c r="D70" s="164" t="s">
        <v>452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</row>
    <row r="71" spans="1:32" x14ac:dyDescent="0.25">
      <c r="A71" s="245">
        <v>701</v>
      </c>
      <c r="B71" s="1" t="str">
        <f t="shared" si="15"/>
        <v>0.67, Chisel Plow-Rigid 20'</v>
      </c>
      <c r="C71" s="168">
        <v>0.67</v>
      </c>
      <c r="D71" s="164" t="s">
        <v>452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</row>
    <row r="72" spans="1:32" x14ac:dyDescent="0.25">
      <c r="A72" s="245">
        <v>6</v>
      </c>
      <c r="B72" s="1" t="str">
        <f t="shared" si="15"/>
        <v>0.68, Chisel Plow-Rigid 24'</v>
      </c>
      <c r="C72" s="168">
        <v>0.68</v>
      </c>
      <c r="D72" s="164" t="s">
        <v>452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</row>
    <row r="73" spans="1:32" x14ac:dyDescent="0.25">
      <c r="A73" s="245">
        <v>294</v>
      </c>
      <c r="B73" s="1" t="str">
        <f t="shared" si="15"/>
        <v>0.69, Chisel-Harrow 21 shank</v>
      </c>
      <c r="C73" s="168">
        <v>0.69</v>
      </c>
      <c r="D73" s="164" t="s">
        <v>452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</row>
    <row r="74" spans="1:32" x14ac:dyDescent="0.25">
      <c r="A74" s="245">
        <v>293</v>
      </c>
      <c r="B74" s="1" t="str">
        <f t="shared" si="15"/>
        <v>0.7, Chisel-Harrow 27 shank</v>
      </c>
      <c r="C74" s="168">
        <v>0.7</v>
      </c>
      <c r="D74" s="164" t="s">
        <v>452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</row>
    <row r="75" spans="1:32" x14ac:dyDescent="0.25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452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</row>
    <row r="76" spans="1:32" x14ac:dyDescent="0.25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452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</row>
    <row r="77" spans="1:32" x14ac:dyDescent="0.25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452</v>
      </c>
      <c r="E77" s="164" t="s">
        <v>488</v>
      </c>
      <c r="F77" s="164" t="s">
        <v>25</v>
      </c>
      <c r="G77" s="164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</row>
    <row r="78" spans="1:32" x14ac:dyDescent="0.25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452</v>
      </c>
      <c r="E78" s="164" t="s">
        <v>490</v>
      </c>
      <c r="F78" s="164" t="s">
        <v>6</v>
      </c>
      <c r="G78" s="164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</row>
    <row r="79" spans="1:32" x14ac:dyDescent="0.25">
      <c r="A79" s="245">
        <v>579</v>
      </c>
      <c r="B79" s="1" t="str">
        <f t="shared" si="15"/>
        <v>0.75, Cultivate  4R-30</v>
      </c>
      <c r="C79" s="168">
        <v>0.75</v>
      </c>
      <c r="D79" s="164" t="s">
        <v>452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</row>
    <row r="80" spans="1:32" x14ac:dyDescent="0.25">
      <c r="A80" s="245">
        <v>31</v>
      </c>
      <c r="B80" s="1" t="str">
        <f t="shared" si="15"/>
        <v>0.76, Cultivate  4R-36</v>
      </c>
      <c r="C80" s="168">
        <v>0.76</v>
      </c>
      <c r="D80" s="164" t="s">
        <v>452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</row>
    <row r="81" spans="1:32" x14ac:dyDescent="0.25">
      <c r="A81" s="245">
        <v>32</v>
      </c>
      <c r="B81" s="1" t="str">
        <f t="shared" si="15"/>
        <v>0.77, Cultivate  6R-30</v>
      </c>
      <c r="C81" s="168">
        <v>0.77</v>
      </c>
      <c r="D81" s="164" t="s">
        <v>452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</row>
    <row r="82" spans="1:32" x14ac:dyDescent="0.25">
      <c r="A82" s="245">
        <v>33</v>
      </c>
      <c r="B82" s="1" t="str">
        <f t="shared" si="15"/>
        <v>0.78, Cultivate  6R-36</v>
      </c>
      <c r="C82" s="168">
        <v>0.78</v>
      </c>
      <c r="D82" s="164" t="s">
        <v>452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</row>
    <row r="83" spans="1:32" x14ac:dyDescent="0.25">
      <c r="A83" s="245">
        <v>34</v>
      </c>
      <c r="B83" s="1" t="str">
        <f t="shared" si="15"/>
        <v>0.79, Cultivate  8R-30</v>
      </c>
      <c r="C83" s="168">
        <v>0.79</v>
      </c>
      <c r="D83" s="164" t="s">
        <v>452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</row>
    <row r="84" spans="1:32" x14ac:dyDescent="0.25">
      <c r="A84" s="245">
        <v>35</v>
      </c>
      <c r="B84" s="1" t="str">
        <f t="shared" si="15"/>
        <v>0.8, Cultivate  8R-36</v>
      </c>
      <c r="C84" s="168">
        <v>0.8</v>
      </c>
      <c r="D84" s="164" t="s">
        <v>452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</row>
    <row r="85" spans="1:32" x14ac:dyDescent="0.25">
      <c r="A85" s="245">
        <v>36</v>
      </c>
      <c r="B85" s="1" t="str">
        <f t="shared" si="15"/>
        <v>0.81, Cultivate 10R-30</v>
      </c>
      <c r="C85" s="168">
        <v>0.81</v>
      </c>
      <c r="D85" s="164" t="s">
        <v>452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</row>
    <row r="86" spans="1:32" x14ac:dyDescent="0.25">
      <c r="A86" s="245">
        <v>508</v>
      </c>
      <c r="B86" s="1" t="str">
        <f t="shared" si="15"/>
        <v>0.82, Cultivate 12R-30</v>
      </c>
      <c r="C86" s="168">
        <v>0.82</v>
      </c>
      <c r="D86" s="164" t="s">
        <v>452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</row>
    <row r="87" spans="1:32" x14ac:dyDescent="0.25">
      <c r="A87" s="245">
        <v>235</v>
      </c>
      <c r="B87" s="1" t="str">
        <f t="shared" si="15"/>
        <v>0.83, Cultivate  8R-36 2x1</v>
      </c>
      <c r="C87" s="168">
        <v>0.83</v>
      </c>
      <c r="D87" s="164" t="s">
        <v>452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</row>
    <row r="88" spans="1:32" x14ac:dyDescent="0.25">
      <c r="A88" s="245">
        <v>236</v>
      </c>
      <c r="B88" s="1" t="str">
        <f t="shared" si="15"/>
        <v>0.84, Cultivate 12R-36</v>
      </c>
      <c r="C88" s="168">
        <v>0.84</v>
      </c>
      <c r="D88" s="164" t="s">
        <v>452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</row>
    <row r="89" spans="1:32" x14ac:dyDescent="0.25">
      <c r="A89" s="245">
        <v>580</v>
      </c>
      <c r="B89" s="1" t="str">
        <f t="shared" si="15"/>
        <v>0.85, Cultivate 16R-30</v>
      </c>
      <c r="C89" s="168">
        <v>0.85</v>
      </c>
      <c r="D89" s="164" t="s">
        <v>452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</row>
    <row r="90" spans="1:32" x14ac:dyDescent="0.25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452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</row>
    <row r="91" spans="1:32" x14ac:dyDescent="0.25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452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</row>
    <row r="92" spans="1:32" x14ac:dyDescent="0.25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452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</row>
    <row r="93" spans="1:32" x14ac:dyDescent="0.25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452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</row>
    <row r="94" spans="1:32" x14ac:dyDescent="0.25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452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</row>
    <row r="95" spans="1:32" x14ac:dyDescent="0.25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452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</row>
    <row r="96" spans="1:32" x14ac:dyDescent="0.25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452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</row>
    <row r="97" spans="1:32" x14ac:dyDescent="0.25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452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</row>
    <row r="98" spans="1:32" x14ac:dyDescent="0.25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452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</row>
    <row r="99" spans="1:32" x14ac:dyDescent="0.25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452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</row>
    <row r="100" spans="1:32" x14ac:dyDescent="0.25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452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</row>
    <row r="101" spans="1:32" x14ac:dyDescent="0.25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452</v>
      </c>
      <c r="E101" s="164" t="s">
        <v>489</v>
      </c>
      <c r="F101" s="164" t="s">
        <v>25</v>
      </c>
      <c r="G101" s="164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</row>
    <row r="102" spans="1:32" x14ac:dyDescent="0.25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452</v>
      </c>
      <c r="E102" s="164" t="s">
        <v>491</v>
      </c>
      <c r="F102" s="164" t="s">
        <v>6</v>
      </c>
      <c r="G102" s="164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</row>
    <row r="103" spans="1:32" x14ac:dyDescent="0.25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452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</row>
    <row r="104" spans="1:32" x14ac:dyDescent="0.25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452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</row>
    <row r="105" spans="1:32" x14ac:dyDescent="0.25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452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</row>
    <row r="106" spans="1:32" x14ac:dyDescent="0.25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452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</row>
    <row r="107" spans="1:32" x14ac:dyDescent="0.25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452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</row>
    <row r="108" spans="1:32" x14ac:dyDescent="0.25">
      <c r="A108" s="245">
        <v>72</v>
      </c>
      <c r="B108" s="1" t="str">
        <f t="shared" si="15"/>
        <v>1.04, Disk Harrow 14'</v>
      </c>
      <c r="C108" s="168">
        <v>1.04</v>
      </c>
      <c r="D108" s="164" t="s">
        <v>452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</row>
    <row r="109" spans="1:32" x14ac:dyDescent="0.25">
      <c r="A109" s="245">
        <v>743</v>
      </c>
      <c r="B109" s="1" t="str">
        <f t="shared" si="15"/>
        <v>1.05, Disk Harrow 20'</v>
      </c>
      <c r="C109" s="168">
        <v>1.05</v>
      </c>
      <c r="D109" s="164" t="s">
        <v>452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</row>
    <row r="110" spans="1:32" x14ac:dyDescent="0.25">
      <c r="A110" s="245">
        <v>73</v>
      </c>
      <c r="B110" s="1" t="str">
        <f t="shared" si="15"/>
        <v>1.06, Disk Harrow 24'</v>
      </c>
      <c r="C110" s="168">
        <v>1.06</v>
      </c>
      <c r="D110" s="164" t="s">
        <v>452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</row>
    <row r="111" spans="1:32" x14ac:dyDescent="0.25">
      <c r="A111" s="245">
        <v>291</v>
      </c>
      <c r="B111" s="1" t="str">
        <f t="shared" si="15"/>
        <v>1.07, Disk Harrow 28'</v>
      </c>
      <c r="C111" s="168">
        <v>1.07</v>
      </c>
      <c r="D111" s="164" t="s">
        <v>452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</row>
    <row r="112" spans="1:32" x14ac:dyDescent="0.25">
      <c r="A112" s="245">
        <v>74</v>
      </c>
      <c r="B112" s="1" t="str">
        <f t="shared" si="15"/>
        <v>1.08, Disk Harrow 32'</v>
      </c>
      <c r="C112" s="168">
        <v>1.08</v>
      </c>
      <c r="D112" s="164" t="s">
        <v>452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</row>
    <row r="113" spans="1:32" x14ac:dyDescent="0.25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452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</row>
    <row r="114" spans="1:32" x14ac:dyDescent="0.25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452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</row>
    <row r="115" spans="1:32" x14ac:dyDescent="0.25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452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</row>
    <row r="116" spans="1:32" x14ac:dyDescent="0.25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452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</row>
    <row r="117" spans="1:32" x14ac:dyDescent="0.25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452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</row>
    <row r="118" spans="1:32" x14ac:dyDescent="0.25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452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</row>
    <row r="119" spans="1:32" x14ac:dyDescent="0.25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452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</row>
    <row r="120" spans="1:32" x14ac:dyDescent="0.25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452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</row>
    <row r="121" spans="1:32" x14ac:dyDescent="0.25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452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</row>
    <row r="122" spans="1:32" x14ac:dyDescent="0.25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452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</row>
    <row r="123" spans="1:32" x14ac:dyDescent="0.25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452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</row>
    <row r="124" spans="1:32" x14ac:dyDescent="0.25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452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</row>
    <row r="125" spans="1:32" x14ac:dyDescent="0.25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452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</row>
    <row r="126" spans="1:32" x14ac:dyDescent="0.25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452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</row>
    <row r="127" spans="1:32" x14ac:dyDescent="0.25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452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</row>
    <row r="128" spans="1:32" x14ac:dyDescent="0.25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452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</row>
    <row r="129" spans="1:32" x14ac:dyDescent="0.25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452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</row>
    <row r="130" spans="1:32" x14ac:dyDescent="0.25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452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</row>
    <row r="131" spans="1:32" x14ac:dyDescent="0.25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452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</row>
    <row r="132" spans="1:32" x14ac:dyDescent="0.25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452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</row>
    <row r="133" spans="1:32" x14ac:dyDescent="0.25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452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</row>
    <row r="134" spans="1:32" x14ac:dyDescent="0.25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452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</row>
    <row r="135" spans="1:32" x14ac:dyDescent="0.25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452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</row>
    <row r="136" spans="1:32" x14ac:dyDescent="0.25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452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</row>
    <row r="137" spans="1:32" x14ac:dyDescent="0.25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452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</row>
    <row r="138" spans="1:32" x14ac:dyDescent="0.25">
      <c r="A138" s="245">
        <v>556</v>
      </c>
      <c r="B138" s="1" t="str">
        <f t="shared" si="30"/>
        <v>1.34, Grain Drill  8'</v>
      </c>
      <c r="C138" s="168">
        <v>1.34</v>
      </c>
      <c r="D138" s="164" t="s">
        <v>452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</row>
    <row r="139" spans="1:32" x14ac:dyDescent="0.25">
      <c r="A139" s="245">
        <v>558</v>
      </c>
      <c r="B139" s="1" t="str">
        <f t="shared" si="30"/>
        <v>1.35, Grain Drill 10'</v>
      </c>
      <c r="C139" s="168">
        <v>1.35</v>
      </c>
      <c r="D139" s="164" t="s">
        <v>452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</row>
    <row r="140" spans="1:32" x14ac:dyDescent="0.25">
      <c r="A140" s="245">
        <v>106</v>
      </c>
      <c r="B140" s="1" t="str">
        <f t="shared" si="30"/>
        <v>1.36, Grain Drill 12'</v>
      </c>
      <c r="C140" s="168">
        <v>1.36</v>
      </c>
      <c r="D140" s="164" t="s">
        <v>452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</row>
    <row r="141" spans="1:32" x14ac:dyDescent="0.25">
      <c r="A141" s="245">
        <v>208</v>
      </c>
      <c r="B141" s="1" t="str">
        <f t="shared" si="30"/>
        <v>1.37, Grain Drill 15'</v>
      </c>
      <c r="C141" s="168">
        <v>1.37</v>
      </c>
      <c r="D141" s="164" t="s">
        <v>452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</row>
    <row r="142" spans="1:32" x14ac:dyDescent="0.25">
      <c r="A142" s="245">
        <v>107</v>
      </c>
      <c r="B142" s="1" t="str">
        <f t="shared" si="30"/>
        <v>1.38, Grain Drill 20'</v>
      </c>
      <c r="C142" s="168">
        <v>1.38</v>
      </c>
      <c r="D142" s="164" t="s">
        <v>452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</row>
    <row r="143" spans="1:32" x14ac:dyDescent="0.25">
      <c r="A143" s="245">
        <v>209</v>
      </c>
      <c r="B143" s="1" t="str">
        <f t="shared" si="30"/>
        <v>1.39, Grain Drill 24'</v>
      </c>
      <c r="C143" s="168">
        <v>1.39</v>
      </c>
      <c r="D143" s="164" t="s">
        <v>452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</row>
    <row r="144" spans="1:32" x14ac:dyDescent="0.25">
      <c r="A144" s="245">
        <v>108</v>
      </c>
      <c r="B144" s="1" t="str">
        <f t="shared" si="30"/>
        <v>1.4, Grain Drill 30'</v>
      </c>
      <c r="C144" s="168">
        <v>1.4</v>
      </c>
      <c r="D144" s="164" t="s">
        <v>452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</row>
    <row r="145" spans="1:32" x14ac:dyDescent="0.25">
      <c r="A145" s="245">
        <v>560</v>
      </c>
      <c r="B145" s="1" t="str">
        <f t="shared" si="30"/>
        <v>1.41, Grain Drill 35'</v>
      </c>
      <c r="C145" s="168">
        <v>1.41</v>
      </c>
      <c r="D145" s="164" t="s">
        <v>452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</row>
    <row r="146" spans="1:32" x14ac:dyDescent="0.25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452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</row>
    <row r="147" spans="1:32" x14ac:dyDescent="0.25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452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</row>
    <row r="148" spans="1:32" x14ac:dyDescent="0.25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452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</row>
    <row r="149" spans="1:32" x14ac:dyDescent="0.25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452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</row>
    <row r="150" spans="1:32" x14ac:dyDescent="0.25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452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</row>
    <row r="151" spans="1:32" x14ac:dyDescent="0.25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452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</row>
    <row r="152" spans="1:32" x14ac:dyDescent="0.25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452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</row>
    <row r="153" spans="1:32" x14ac:dyDescent="0.25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452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</row>
    <row r="154" spans="1:32" x14ac:dyDescent="0.25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452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2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</row>
    <row r="155" spans="1:32" x14ac:dyDescent="0.25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452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</row>
    <row r="156" spans="1:32" x14ac:dyDescent="0.25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452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</row>
    <row r="157" spans="1:32" x14ac:dyDescent="0.25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452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</row>
    <row r="158" spans="1:32" x14ac:dyDescent="0.25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452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</row>
    <row r="159" spans="1:32" x14ac:dyDescent="0.25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452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</row>
    <row r="160" spans="1:32" x14ac:dyDescent="0.25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452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</row>
    <row r="161" spans="1:32" x14ac:dyDescent="0.25">
      <c r="A161" s="245">
        <v>185</v>
      </c>
      <c r="B161" s="1" t="str">
        <f t="shared" si="30"/>
        <v>1.57, Harrow - Rigid 13'</v>
      </c>
      <c r="C161" s="168">
        <v>1.57</v>
      </c>
      <c r="D161" s="164" t="s">
        <v>452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</row>
    <row r="162" spans="1:32" x14ac:dyDescent="0.25">
      <c r="A162" s="245"/>
      <c r="B162" s="1" t="str">
        <f t="shared" si="30"/>
        <v>1.58, Heavy Disk 14'</v>
      </c>
      <c r="C162" s="168">
        <v>1.58</v>
      </c>
      <c r="D162" s="164" t="s">
        <v>452</v>
      </c>
      <c r="E162" s="164" t="s">
        <v>436</v>
      </c>
      <c r="F162" s="164" t="s">
        <v>12</v>
      </c>
      <c r="G162" s="164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</row>
    <row r="163" spans="1:32" x14ac:dyDescent="0.25">
      <c r="A163" s="245"/>
      <c r="B163" s="1" t="str">
        <f t="shared" si="30"/>
        <v>1.59, Heavy Disk 21'</v>
      </c>
      <c r="C163" s="168">
        <v>1.59</v>
      </c>
      <c r="D163" s="164" t="s">
        <v>452</v>
      </c>
      <c r="E163" s="164" t="s">
        <v>436</v>
      </c>
      <c r="F163" s="164" t="s">
        <v>39</v>
      </c>
      <c r="G163" s="164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</row>
    <row r="164" spans="1:32" x14ac:dyDescent="0.25">
      <c r="A164" s="245"/>
      <c r="B164" s="1" t="str">
        <f t="shared" si="30"/>
        <v>1.6, Heavy Disk 27'</v>
      </c>
      <c r="C164" s="168">
        <v>1.6</v>
      </c>
      <c r="D164" s="164" t="s">
        <v>452</v>
      </c>
      <c r="E164" s="164" t="s">
        <v>436</v>
      </c>
      <c r="F164" s="164" t="s">
        <v>17</v>
      </c>
      <c r="G164" s="164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</row>
    <row r="165" spans="1:32" x14ac:dyDescent="0.25">
      <c r="A165" s="245">
        <v>113</v>
      </c>
      <c r="B165" s="1" t="str">
        <f t="shared" si="30"/>
        <v>1.61, Land Plane 50'x16'</v>
      </c>
      <c r="C165" s="168">
        <v>1.61</v>
      </c>
      <c r="D165" s="164" t="s">
        <v>452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</row>
    <row r="166" spans="1:32" x14ac:dyDescent="0.25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452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</row>
    <row r="167" spans="1:32" x14ac:dyDescent="0.25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452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</row>
    <row r="168" spans="1:32" x14ac:dyDescent="0.25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452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</row>
    <row r="169" spans="1:32" x14ac:dyDescent="0.25">
      <c r="A169" s="245">
        <v>723</v>
      </c>
      <c r="B169" s="1" t="str">
        <f t="shared" si="30"/>
        <v>1.65, NT Grain Drill  6'</v>
      </c>
      <c r="C169" s="168">
        <v>1.65</v>
      </c>
      <c r="D169" s="164" t="s">
        <v>452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</row>
    <row r="170" spans="1:32" x14ac:dyDescent="0.25">
      <c r="A170" s="245">
        <v>554</v>
      </c>
      <c r="B170" s="1" t="str">
        <f t="shared" si="30"/>
        <v>1.66, NT Grain Drill 10'</v>
      </c>
      <c r="C170" s="168">
        <v>1.66</v>
      </c>
      <c r="D170" s="164" t="s">
        <v>452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</row>
    <row r="171" spans="1:32" x14ac:dyDescent="0.25">
      <c r="A171" s="245">
        <v>127</v>
      </c>
      <c r="B171" s="1" t="str">
        <f t="shared" si="30"/>
        <v>1.67, NT Grain Drill 12'</v>
      </c>
      <c r="C171" s="168">
        <v>1.67</v>
      </c>
      <c r="D171" s="164" t="s">
        <v>452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</row>
    <row r="172" spans="1:32" x14ac:dyDescent="0.25">
      <c r="A172" s="245">
        <v>328</v>
      </c>
      <c r="B172" s="1" t="str">
        <f t="shared" si="30"/>
        <v>1.68, NT Grain Drill 15'</v>
      </c>
      <c r="C172" s="168">
        <v>1.68</v>
      </c>
      <c r="D172" s="164" t="s">
        <v>452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</row>
    <row r="173" spans="1:32" x14ac:dyDescent="0.25">
      <c r="A173" s="245">
        <v>128</v>
      </c>
      <c r="B173" s="1" t="str">
        <f t="shared" si="30"/>
        <v>1.69, NT Grain Drill 20'</v>
      </c>
      <c r="C173" s="168">
        <v>1.69</v>
      </c>
      <c r="D173" s="164" t="s">
        <v>452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</row>
    <row r="174" spans="1:32" x14ac:dyDescent="0.25">
      <c r="A174" s="245">
        <v>329</v>
      </c>
      <c r="B174" s="1" t="str">
        <f t="shared" si="30"/>
        <v>1.7, NT Grain Drill 24'</v>
      </c>
      <c r="C174" s="168">
        <v>1.7</v>
      </c>
      <c r="D174" s="164" t="s">
        <v>452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</row>
    <row r="175" spans="1:32" x14ac:dyDescent="0.25">
      <c r="A175" s="245">
        <v>129</v>
      </c>
      <c r="B175" s="1" t="str">
        <f t="shared" si="30"/>
        <v>1.71, NT Grain Drill 30'</v>
      </c>
      <c r="C175" s="168">
        <v>1.71</v>
      </c>
      <c r="D175" s="164" t="s">
        <v>452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</row>
    <row r="176" spans="1:32" x14ac:dyDescent="0.25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452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</row>
    <row r="177" spans="1:32" x14ac:dyDescent="0.25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452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</row>
    <row r="178" spans="1:32" x14ac:dyDescent="0.25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452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</row>
    <row r="179" spans="1:32" x14ac:dyDescent="0.25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452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</row>
    <row r="180" spans="1:32" x14ac:dyDescent="0.25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452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</row>
    <row r="181" spans="1:32" x14ac:dyDescent="0.25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452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</row>
    <row r="182" spans="1:32" x14ac:dyDescent="0.25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452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</row>
    <row r="183" spans="1:32" x14ac:dyDescent="0.25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452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</row>
    <row r="184" spans="1:32" x14ac:dyDescent="0.25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452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</row>
    <row r="185" spans="1:32" x14ac:dyDescent="0.25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452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</row>
    <row r="186" spans="1:32" x14ac:dyDescent="0.25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452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</row>
    <row r="187" spans="1:32" x14ac:dyDescent="0.25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452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</row>
    <row r="188" spans="1:32" x14ac:dyDescent="0.25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452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</row>
    <row r="189" spans="1:32" x14ac:dyDescent="0.25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452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</row>
    <row r="190" spans="1:32" x14ac:dyDescent="0.25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452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</row>
    <row r="191" spans="1:32" x14ac:dyDescent="0.25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452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</row>
    <row r="192" spans="1:32" x14ac:dyDescent="0.25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452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</row>
    <row r="193" spans="1:32" x14ac:dyDescent="0.25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452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</row>
    <row r="194" spans="1:32" x14ac:dyDescent="0.25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452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</row>
    <row r="195" spans="1:32" x14ac:dyDescent="0.25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452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</row>
    <row r="196" spans="1:32" x14ac:dyDescent="0.25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452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</row>
    <row r="197" spans="1:32" x14ac:dyDescent="0.25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452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</row>
    <row r="198" spans="1:32" x14ac:dyDescent="0.25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452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</row>
    <row r="199" spans="1:32" x14ac:dyDescent="0.25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452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</row>
    <row r="200" spans="1:32" x14ac:dyDescent="0.25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452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</row>
    <row r="201" spans="1:32" x14ac:dyDescent="0.25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452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</row>
    <row r="202" spans="1:32" x14ac:dyDescent="0.25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452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</row>
    <row r="203" spans="1:32" x14ac:dyDescent="0.25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452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</row>
    <row r="204" spans="1:32" x14ac:dyDescent="0.25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452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</row>
    <row r="205" spans="1:32" x14ac:dyDescent="0.25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452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</row>
    <row r="206" spans="1:32" x14ac:dyDescent="0.25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452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</row>
    <row r="207" spans="1:32" x14ac:dyDescent="0.25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452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</row>
    <row r="208" spans="1:32" x14ac:dyDescent="0.25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452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</row>
    <row r="209" spans="1:32" x14ac:dyDescent="0.25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452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</row>
    <row r="210" spans="1:32" x14ac:dyDescent="0.25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452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</row>
    <row r="211" spans="1:32" x14ac:dyDescent="0.25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452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</row>
    <row r="212" spans="1:32" x14ac:dyDescent="0.25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452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</row>
    <row r="213" spans="1:32" x14ac:dyDescent="0.25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452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</row>
    <row r="214" spans="1:32" x14ac:dyDescent="0.25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452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</row>
    <row r="215" spans="1:32" x14ac:dyDescent="0.25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452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</row>
    <row r="216" spans="1:32" x14ac:dyDescent="0.25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452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</row>
    <row r="217" spans="1:32" x14ac:dyDescent="0.25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452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</row>
    <row r="218" spans="1:32" x14ac:dyDescent="0.25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452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</row>
    <row r="219" spans="1:32" x14ac:dyDescent="0.25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452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</row>
    <row r="220" spans="1:32" x14ac:dyDescent="0.25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452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</row>
    <row r="221" spans="1:32" x14ac:dyDescent="0.25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452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</row>
    <row r="222" spans="1:32" x14ac:dyDescent="0.25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452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</row>
    <row r="223" spans="1:32" x14ac:dyDescent="0.25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452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</row>
    <row r="224" spans="1:32" x14ac:dyDescent="0.25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452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</row>
    <row r="225" spans="1:32" x14ac:dyDescent="0.25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452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</row>
    <row r="226" spans="1:32" x14ac:dyDescent="0.25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452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</row>
    <row r="227" spans="1:32" x14ac:dyDescent="0.25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452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</row>
    <row r="228" spans="1:32" x14ac:dyDescent="0.25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452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</row>
    <row r="229" spans="1:32" x14ac:dyDescent="0.25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452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</row>
    <row r="230" spans="1:32" x14ac:dyDescent="0.25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452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</row>
    <row r="231" spans="1:32" x14ac:dyDescent="0.25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452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</row>
    <row r="232" spans="1:32" x14ac:dyDescent="0.25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452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</row>
    <row r="233" spans="1:32" x14ac:dyDescent="0.25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452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</row>
    <row r="234" spans="1:32" x14ac:dyDescent="0.25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452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</row>
    <row r="235" spans="1:32" x14ac:dyDescent="0.25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452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</row>
    <row r="236" spans="1:32" x14ac:dyDescent="0.25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452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</row>
    <row r="237" spans="1:32" x14ac:dyDescent="0.25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452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</row>
    <row r="238" spans="1:32" x14ac:dyDescent="0.25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452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</row>
    <row r="239" spans="1:32" x14ac:dyDescent="0.25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452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</row>
    <row r="240" spans="1:32" x14ac:dyDescent="0.25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452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</row>
    <row r="241" spans="1:32" x14ac:dyDescent="0.25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452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</row>
    <row r="242" spans="1:32" x14ac:dyDescent="0.25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452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2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</row>
    <row r="243" spans="1:32" x14ac:dyDescent="0.25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452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2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</row>
    <row r="244" spans="1:32" x14ac:dyDescent="0.25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452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2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</row>
    <row r="245" spans="1:32" x14ac:dyDescent="0.25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452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2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</row>
    <row r="246" spans="1:32" x14ac:dyDescent="0.25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452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2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</row>
    <row r="247" spans="1:32" x14ac:dyDescent="0.25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452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</row>
    <row r="248" spans="1:32" x14ac:dyDescent="0.25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452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</row>
    <row r="249" spans="1:32" x14ac:dyDescent="0.25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452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</row>
    <row r="250" spans="1:32" x14ac:dyDescent="0.25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452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</row>
    <row r="251" spans="1:32" x14ac:dyDescent="0.25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452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</row>
    <row r="252" spans="1:32" x14ac:dyDescent="0.25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452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</row>
    <row r="253" spans="1:32" x14ac:dyDescent="0.25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452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</row>
    <row r="254" spans="1:32" x14ac:dyDescent="0.25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452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</row>
    <row r="255" spans="1:32" x14ac:dyDescent="0.25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452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</row>
    <row r="256" spans="1:32" x14ac:dyDescent="0.25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452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</row>
    <row r="257" spans="1:32" x14ac:dyDescent="0.25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452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</row>
    <row r="258" spans="1:32" x14ac:dyDescent="0.25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452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</row>
    <row r="259" spans="1:32" x14ac:dyDescent="0.25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452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</row>
    <row r="260" spans="1:32" x14ac:dyDescent="0.25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452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</row>
    <row r="261" spans="1:32" x14ac:dyDescent="0.25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452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</row>
    <row r="262" spans="1:32" x14ac:dyDescent="0.25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452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</row>
    <row r="263" spans="1:32" x14ac:dyDescent="0.25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452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</row>
    <row r="264" spans="1:32" x14ac:dyDescent="0.25">
      <c r="A264" s="245">
        <v>147</v>
      </c>
      <c r="B264" s="1" t="str">
        <f t="shared" si="60"/>
        <v>2.6, Plant - Rigid  6R-36</v>
      </c>
      <c r="C264" s="168">
        <v>2.6</v>
      </c>
      <c r="D264" s="164" t="s">
        <v>452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</row>
    <row r="265" spans="1:32" x14ac:dyDescent="0.25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452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</row>
    <row r="266" spans="1:32" x14ac:dyDescent="0.25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452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</row>
    <row r="267" spans="1:32" x14ac:dyDescent="0.25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452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</row>
    <row r="268" spans="1:32" x14ac:dyDescent="0.25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452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</row>
    <row r="269" spans="1:32" x14ac:dyDescent="0.25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452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</row>
    <row r="270" spans="1:32" x14ac:dyDescent="0.25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452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</row>
    <row r="271" spans="1:32" x14ac:dyDescent="0.25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452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</row>
    <row r="272" spans="1:32" x14ac:dyDescent="0.25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452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</row>
    <row r="273" spans="1:32" x14ac:dyDescent="0.25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452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</row>
    <row r="274" spans="1:32" x14ac:dyDescent="0.25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452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</row>
    <row r="275" spans="1:32" x14ac:dyDescent="0.25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452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</row>
    <row r="276" spans="1:32" x14ac:dyDescent="0.25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452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</row>
    <row r="277" spans="1:32" x14ac:dyDescent="0.25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452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</row>
    <row r="278" spans="1:32" x14ac:dyDescent="0.25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452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</row>
    <row r="279" spans="1:32" x14ac:dyDescent="0.25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452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</row>
    <row r="280" spans="1:32" x14ac:dyDescent="0.25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452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</row>
    <row r="281" spans="1:32" x14ac:dyDescent="0.25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452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</row>
    <row r="282" spans="1:32" x14ac:dyDescent="0.25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452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</row>
    <row r="283" spans="1:32" x14ac:dyDescent="0.25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452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</row>
    <row r="284" spans="1:32" x14ac:dyDescent="0.25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452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</row>
    <row r="285" spans="1:32" x14ac:dyDescent="0.25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452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</row>
    <row r="286" spans="1:32" x14ac:dyDescent="0.25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452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</row>
    <row r="287" spans="1:32" x14ac:dyDescent="0.25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452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</row>
    <row r="288" spans="1:32" x14ac:dyDescent="0.25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452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</row>
    <row r="289" spans="1:32" x14ac:dyDescent="0.25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452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</row>
    <row r="290" spans="1:32" x14ac:dyDescent="0.25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452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</row>
    <row r="291" spans="1:32" x14ac:dyDescent="0.25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452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</row>
    <row r="292" spans="1:32" x14ac:dyDescent="0.25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452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</row>
    <row r="293" spans="1:32" x14ac:dyDescent="0.25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452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</row>
    <row r="294" spans="1:32" x14ac:dyDescent="0.25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452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</row>
    <row r="295" spans="1:32" x14ac:dyDescent="0.25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452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</row>
    <row r="296" spans="1:32" x14ac:dyDescent="0.25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452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</row>
    <row r="297" spans="1:32" x14ac:dyDescent="0.25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452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</row>
    <row r="298" spans="1:32" x14ac:dyDescent="0.25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452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</row>
    <row r="299" spans="1:32" x14ac:dyDescent="0.25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452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</row>
    <row r="300" spans="1:32" x14ac:dyDescent="0.25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452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</row>
    <row r="301" spans="1:32" x14ac:dyDescent="0.25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452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</row>
    <row r="302" spans="1:32" x14ac:dyDescent="0.25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452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</row>
    <row r="303" spans="1:32" x14ac:dyDescent="0.25">
      <c r="A303" s="245"/>
      <c r="B303" s="1" t="str">
        <f t="shared" si="60"/>
        <v>2.99, Plow 4 Bottom Switch</v>
      </c>
      <c r="C303" s="168">
        <v>2.99</v>
      </c>
      <c r="D303" s="164" t="s">
        <v>452</v>
      </c>
      <c r="E303" s="164" t="s">
        <v>437</v>
      </c>
      <c r="F303" s="164" t="s">
        <v>438</v>
      </c>
      <c r="G303" s="164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</row>
    <row r="304" spans="1:32" x14ac:dyDescent="0.25">
      <c r="A304" s="245"/>
      <c r="B304" s="1" t="str">
        <f t="shared" si="60"/>
        <v>3, Plow 5 Bottom Switch</v>
      </c>
      <c r="C304" s="168">
        <v>3</v>
      </c>
      <c r="D304" s="164" t="s">
        <v>452</v>
      </c>
      <c r="E304" s="164" t="s">
        <v>437</v>
      </c>
      <c r="F304" s="164" t="s">
        <v>439</v>
      </c>
      <c r="G304" s="164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</row>
    <row r="305" spans="1:32" x14ac:dyDescent="0.25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452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</row>
    <row r="306" spans="1:32" x14ac:dyDescent="0.25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452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</row>
    <row r="307" spans="1:32" x14ac:dyDescent="0.25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452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</row>
    <row r="308" spans="1:32" x14ac:dyDescent="0.25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452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</row>
    <row r="309" spans="1:32" x14ac:dyDescent="0.25">
      <c r="A309" s="245">
        <v>718</v>
      </c>
      <c r="B309" s="1" t="str">
        <f t="shared" si="60"/>
        <v>3.05, Roller/Stubble 20'</v>
      </c>
      <c r="C309" s="168">
        <v>3.05</v>
      </c>
      <c r="D309" s="164" t="s">
        <v>452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</row>
    <row r="310" spans="1:32" x14ac:dyDescent="0.25">
      <c r="A310" s="245">
        <v>719</v>
      </c>
      <c r="B310" s="1" t="str">
        <f t="shared" si="60"/>
        <v>3.06, Roller/Stubble 32'</v>
      </c>
      <c r="C310" s="168">
        <v>3.06</v>
      </c>
      <c r="D310" s="164" t="s">
        <v>452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</row>
    <row r="311" spans="1:32" x14ac:dyDescent="0.25">
      <c r="A311" s="245">
        <v>485</v>
      </c>
      <c r="B311" s="1" t="str">
        <f t="shared" si="60"/>
        <v>3.07, Rotary Cutter  7'</v>
      </c>
      <c r="C311" s="168">
        <v>3.07</v>
      </c>
      <c r="D311" s="164" t="s">
        <v>452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</row>
    <row r="312" spans="1:32" x14ac:dyDescent="0.25">
      <c r="A312" s="245">
        <v>199</v>
      </c>
      <c r="B312" s="1" t="str">
        <f t="shared" si="60"/>
        <v>3.08, Rotary Cutter 12'</v>
      </c>
      <c r="C312" s="168">
        <v>3.08</v>
      </c>
      <c r="D312" s="164" t="s">
        <v>452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</row>
    <row r="313" spans="1:32" x14ac:dyDescent="0.25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452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</row>
    <row r="314" spans="1:32" x14ac:dyDescent="0.25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452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</row>
    <row r="315" spans="1:32" x14ac:dyDescent="0.25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452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</row>
    <row r="316" spans="1:32" x14ac:dyDescent="0.25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452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</row>
    <row r="317" spans="1:32" x14ac:dyDescent="0.25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452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</row>
    <row r="318" spans="1:32" x14ac:dyDescent="0.25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452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</row>
    <row r="319" spans="1:32" x14ac:dyDescent="0.25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452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</row>
    <row r="320" spans="1:32" x14ac:dyDescent="0.25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452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</row>
    <row r="321" spans="1:32" x14ac:dyDescent="0.25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452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</row>
    <row r="322" spans="1:32" x14ac:dyDescent="0.25">
      <c r="A322" s="245">
        <v>177</v>
      </c>
      <c r="B322" s="1" t="str">
        <f t="shared" si="60"/>
        <v>3.18, Row Cond Rigid 13'</v>
      </c>
      <c r="C322" s="168">
        <v>3.18</v>
      </c>
      <c r="D322" s="164" t="s">
        <v>452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</row>
    <row r="323" spans="1:32" x14ac:dyDescent="0.25">
      <c r="A323" s="245">
        <v>178</v>
      </c>
      <c r="B323" s="1" t="str">
        <f t="shared" si="60"/>
        <v>3.19, Row Cond Rigid 21'</v>
      </c>
      <c r="C323" s="168">
        <v>3.19</v>
      </c>
      <c r="D323" s="164" t="s">
        <v>452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</row>
    <row r="324" spans="1:32" x14ac:dyDescent="0.25">
      <c r="A324" s="245">
        <v>179</v>
      </c>
      <c r="B324" s="1" t="str">
        <f t="shared" si="60"/>
        <v>3.2, Row Cond Rigid 26'</v>
      </c>
      <c r="C324" s="168">
        <v>3.2</v>
      </c>
      <c r="D324" s="164" t="s">
        <v>452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</row>
    <row r="325" spans="1:32" x14ac:dyDescent="0.25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452</v>
      </c>
      <c r="E325" s="164" t="s">
        <v>486</v>
      </c>
      <c r="F325" s="164" t="s">
        <v>38</v>
      </c>
      <c r="G325" s="164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</row>
    <row r="326" spans="1:32" x14ac:dyDescent="0.25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452</v>
      </c>
      <c r="E326" s="164" t="s">
        <v>486</v>
      </c>
      <c r="F326" s="164" t="s">
        <v>44</v>
      </c>
      <c r="G326" s="164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</row>
    <row r="327" spans="1:32" x14ac:dyDescent="0.25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452</v>
      </c>
      <c r="E327" s="164" t="s">
        <v>486</v>
      </c>
      <c r="F327" s="164" t="s">
        <v>16</v>
      </c>
      <c r="G327" s="164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</row>
    <row r="328" spans="1:32" x14ac:dyDescent="0.25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452</v>
      </c>
      <c r="E328" s="164" t="s">
        <v>487</v>
      </c>
      <c r="F328" s="164" t="s">
        <v>39</v>
      </c>
      <c r="G328" s="164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</row>
    <row r="329" spans="1:32" x14ac:dyDescent="0.25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452</v>
      </c>
      <c r="E329" s="164" t="s">
        <v>487</v>
      </c>
      <c r="F329" s="164" t="s">
        <v>38</v>
      </c>
      <c r="G329" s="164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</row>
    <row r="330" spans="1:32" x14ac:dyDescent="0.25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452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</row>
    <row r="331" spans="1:32" x14ac:dyDescent="0.25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452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</row>
    <row r="332" spans="1:32" x14ac:dyDescent="0.25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452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</row>
    <row r="333" spans="1:32" x14ac:dyDescent="0.25">
      <c r="A333" s="245">
        <v>733</v>
      </c>
      <c r="B333" s="1" t="str">
        <f t="shared" si="75"/>
        <v>3.29, Spray (ATV) 20'</v>
      </c>
      <c r="C333" s="168">
        <v>3.29</v>
      </c>
      <c r="D333" s="164" t="s">
        <v>452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</row>
    <row r="334" spans="1:32" x14ac:dyDescent="0.25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452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</row>
    <row r="335" spans="1:32" x14ac:dyDescent="0.25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452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</row>
    <row r="336" spans="1:32" x14ac:dyDescent="0.25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452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</row>
    <row r="337" spans="1:32" x14ac:dyDescent="0.25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452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</row>
    <row r="338" spans="1:32" x14ac:dyDescent="0.25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452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</row>
    <row r="339" spans="1:32" x14ac:dyDescent="0.25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452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</row>
    <row r="340" spans="1:32" x14ac:dyDescent="0.25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452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</row>
    <row r="341" spans="1:32" x14ac:dyDescent="0.25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452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</row>
    <row r="342" spans="1:32" x14ac:dyDescent="0.25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452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</row>
    <row r="343" spans="1:32" x14ac:dyDescent="0.25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452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</row>
    <row r="344" spans="1:32" x14ac:dyDescent="0.25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452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</row>
    <row r="345" spans="1:32" x14ac:dyDescent="0.25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452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</row>
    <row r="346" spans="1:32" x14ac:dyDescent="0.25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452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</row>
    <row r="347" spans="1:32" x14ac:dyDescent="0.25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452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</row>
    <row r="348" spans="1:32" x14ac:dyDescent="0.25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452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</row>
    <row r="349" spans="1:32" x14ac:dyDescent="0.25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452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</row>
    <row r="350" spans="1:32" x14ac:dyDescent="0.25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452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</row>
    <row r="351" spans="1:32" x14ac:dyDescent="0.25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452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</row>
    <row r="352" spans="1:32" x14ac:dyDescent="0.25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452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</row>
    <row r="353" spans="1:32" x14ac:dyDescent="0.25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452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</row>
    <row r="354" spans="1:32" x14ac:dyDescent="0.25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452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</row>
    <row r="355" spans="1:32" x14ac:dyDescent="0.25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452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</row>
    <row r="356" spans="1:32" x14ac:dyDescent="0.25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452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</row>
    <row r="357" spans="1:32" x14ac:dyDescent="0.25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452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</row>
    <row r="358" spans="1:32" x14ac:dyDescent="0.25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452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</row>
    <row r="359" spans="1:32" x14ac:dyDescent="0.25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452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</row>
    <row r="360" spans="1:32" x14ac:dyDescent="0.25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452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</row>
    <row r="361" spans="1:32" x14ac:dyDescent="0.25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452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</row>
    <row r="362" spans="1:32" x14ac:dyDescent="0.25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452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</row>
    <row r="363" spans="1:32" x14ac:dyDescent="0.25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452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</row>
    <row r="364" spans="1:32" x14ac:dyDescent="0.25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452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</row>
    <row r="365" spans="1:32" x14ac:dyDescent="0.25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452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</row>
    <row r="366" spans="1:32" x14ac:dyDescent="0.25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452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</row>
    <row r="367" spans="1:32" x14ac:dyDescent="0.25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452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</row>
    <row r="368" spans="1:32" x14ac:dyDescent="0.25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452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</row>
    <row r="369" spans="1:32" x14ac:dyDescent="0.25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452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</row>
    <row r="370" spans="1:32" x14ac:dyDescent="0.25">
      <c r="A370" s="245">
        <v>194</v>
      </c>
      <c r="B370" s="1" t="str">
        <f t="shared" si="75"/>
        <v>3.66, Spray (Spot) 27'</v>
      </c>
      <c r="C370" s="168">
        <v>3.66</v>
      </c>
      <c r="D370" s="164" t="s">
        <v>452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</row>
    <row r="371" spans="1:32" x14ac:dyDescent="0.25">
      <c r="A371" s="245">
        <v>195</v>
      </c>
      <c r="B371" s="1" t="str">
        <f t="shared" si="75"/>
        <v>3.67, Spray (Spot) 40'</v>
      </c>
      <c r="C371" s="168">
        <v>3.67</v>
      </c>
      <c r="D371" s="164" t="s">
        <v>452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</row>
    <row r="372" spans="1:32" x14ac:dyDescent="0.25">
      <c r="A372" s="245">
        <v>358</v>
      </c>
      <c r="B372" s="1" t="str">
        <f t="shared" si="75"/>
        <v>3.68, Spray (Spot) 50'</v>
      </c>
      <c r="C372" s="168">
        <v>3.68</v>
      </c>
      <c r="D372" s="164" t="s">
        <v>452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</row>
    <row r="373" spans="1:32" x14ac:dyDescent="0.25">
      <c r="A373" s="245">
        <v>359</v>
      </c>
      <c r="B373" s="1" t="str">
        <f t="shared" si="75"/>
        <v>3.69, Spray (Spot) 53'</v>
      </c>
      <c r="C373" s="168">
        <v>3.69</v>
      </c>
      <c r="D373" s="164" t="s">
        <v>452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</row>
    <row r="374" spans="1:32" x14ac:dyDescent="0.25">
      <c r="A374" s="245">
        <v>196</v>
      </c>
      <c r="B374" s="1" t="str">
        <f t="shared" si="75"/>
        <v>3.7, Spray (Spot) 60'</v>
      </c>
      <c r="C374" s="168">
        <v>3.7</v>
      </c>
      <c r="D374" s="164" t="s">
        <v>452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</row>
    <row r="375" spans="1:32" x14ac:dyDescent="0.25">
      <c r="A375" s="245"/>
      <c r="B375" s="1" t="str">
        <f t="shared" si="75"/>
        <v>3.71, ST Plant Rigid 6R-36</v>
      </c>
      <c r="C375" s="168">
        <v>3.71</v>
      </c>
      <c r="D375" s="164" t="s">
        <v>452</v>
      </c>
      <c r="E375" s="164" t="s">
        <v>433</v>
      </c>
      <c r="F375" s="164" t="s">
        <v>204</v>
      </c>
      <c r="G375" s="164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</row>
    <row r="376" spans="1:32" x14ac:dyDescent="0.25">
      <c r="A376" s="245"/>
      <c r="B376" s="1" t="str">
        <f t="shared" si="75"/>
        <v>3.72, ST Plant Rigid 8R-36</v>
      </c>
      <c r="C376" s="168">
        <v>3.72</v>
      </c>
      <c r="D376" s="164" t="s">
        <v>452</v>
      </c>
      <c r="E376" s="164" t="s">
        <v>433</v>
      </c>
      <c r="F376" s="164" t="s">
        <v>203</v>
      </c>
      <c r="G376" s="164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</row>
    <row r="377" spans="1:32" x14ac:dyDescent="0.25">
      <c r="A377" s="245">
        <v>693</v>
      </c>
      <c r="B377" s="1" t="str">
        <f t="shared" si="75"/>
        <v>3.73, Strip Till 12R-30</v>
      </c>
      <c r="C377" s="168">
        <v>3.73</v>
      </c>
      <c r="D377" s="164" t="s">
        <v>452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</row>
    <row r="378" spans="1:32" x14ac:dyDescent="0.25">
      <c r="A378" s="245">
        <v>202</v>
      </c>
      <c r="B378" s="1" t="str">
        <f t="shared" si="75"/>
        <v>3.74, Subsoiler 3 shank</v>
      </c>
      <c r="C378" s="168">
        <v>3.74</v>
      </c>
      <c r="D378" s="164" t="s">
        <v>452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</row>
    <row r="379" spans="1:32" x14ac:dyDescent="0.25">
      <c r="A379" s="245">
        <v>217</v>
      </c>
      <c r="B379" s="1" t="str">
        <f t="shared" si="75"/>
        <v>3.75, Subsoiler 4 shank</v>
      </c>
      <c r="C379" s="168">
        <v>3.75</v>
      </c>
      <c r="D379" s="164" t="s">
        <v>452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</row>
    <row r="380" spans="1:32" x14ac:dyDescent="0.25">
      <c r="A380" s="245">
        <v>203</v>
      </c>
      <c r="B380" s="1" t="str">
        <f t="shared" si="75"/>
        <v>3.76, Subsoiler 5 shank</v>
      </c>
      <c r="C380" s="168">
        <v>3.76</v>
      </c>
      <c r="D380" s="164" t="s">
        <v>452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</row>
    <row r="381" spans="1:32" x14ac:dyDescent="0.25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452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</row>
    <row r="382" spans="1:32" x14ac:dyDescent="0.25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452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</row>
    <row r="383" spans="1:32" x14ac:dyDescent="0.25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452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452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452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452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452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452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452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452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452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452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452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452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452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452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452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452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452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452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452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452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452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452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452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452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452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452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452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452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452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452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452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452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452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452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452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452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452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452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5">
        <v>426</v>
      </c>
      <c r="B423" s="1" t="str">
        <f t="shared" si="106"/>
        <v>0.38, Header -Soybean 18' Flex</v>
      </c>
      <c r="C423" s="168">
        <v>0.38</v>
      </c>
      <c r="D423" s="164" t="s">
        <v>452</v>
      </c>
      <c r="E423" s="164" t="s">
        <v>344</v>
      </c>
      <c r="F423" s="164" t="s">
        <v>509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452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452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452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5">
        <v>424</v>
      </c>
      <c r="B427" s="1" t="str">
        <f t="shared" si="106"/>
        <v>0.42, Header Wheat/Sorghum 18' Rigid</v>
      </c>
      <c r="C427" s="168">
        <v>0.42</v>
      </c>
      <c r="D427" s="164" t="s">
        <v>452</v>
      </c>
      <c r="E427" s="164" t="s">
        <v>345</v>
      </c>
      <c r="F427" s="164" t="s">
        <v>508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452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452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452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452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452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452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452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452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452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452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452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452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452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452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452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452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452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452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452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452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452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452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452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452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452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452</v>
      </c>
      <c r="E453" s="164" t="s">
        <v>450</v>
      </c>
      <c r="F453" s="164" t="s">
        <v>0</v>
      </c>
      <c r="G453" s="164" t="str">
        <f t="shared" si="122"/>
        <v>Peanut Dig/Inverter 4R-30</v>
      </c>
      <c r="H453" s="30">
        <v>26622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452</v>
      </c>
      <c r="E454" s="164" t="s">
        <v>450</v>
      </c>
      <c r="F454" s="164" t="s">
        <v>73</v>
      </c>
      <c r="G454" s="164" t="str">
        <f t="shared" si="122"/>
        <v>Peanut Dig/Inverter 4R-36</v>
      </c>
      <c r="H454" s="30">
        <v>26622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452</v>
      </c>
      <c r="E455" s="164" t="s">
        <v>450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452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452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5"/>
      <c r="B458" s="1" t="str">
        <f t="shared" si="121"/>
        <v>0.73, Peanut Wagon 14'</v>
      </c>
      <c r="C458" s="168">
        <v>0.73</v>
      </c>
      <c r="D458" s="164" t="s">
        <v>452</v>
      </c>
      <c r="E458" s="164" t="s">
        <v>447</v>
      </c>
      <c r="F458" s="164" t="s">
        <v>12</v>
      </c>
      <c r="G458" s="164" t="str">
        <f t="shared" si="122"/>
        <v>Peanut Wagon 14'</v>
      </c>
      <c r="H458" s="30">
        <v>4692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5"/>
      <c r="B459" s="1" t="str">
        <f t="shared" si="121"/>
        <v>0.74, Peanut Wagon 21'</v>
      </c>
      <c r="C459" s="168">
        <v>0.74</v>
      </c>
      <c r="D459" s="164" t="s">
        <v>452</v>
      </c>
      <c r="E459" s="164" t="s">
        <v>447</v>
      </c>
      <c r="F459" s="164" t="s">
        <v>39</v>
      </c>
      <c r="G459" s="164" t="str">
        <f t="shared" si="122"/>
        <v>Peanut Wagon 21'</v>
      </c>
      <c r="H459" s="30">
        <v>7038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5"/>
      <c r="B460" s="1" t="str">
        <f t="shared" si="121"/>
        <v>0.75, Peanut Wagon 28'</v>
      </c>
      <c r="C460" s="168">
        <v>0.75</v>
      </c>
      <c r="D460" s="164" t="s">
        <v>452</v>
      </c>
      <c r="E460" s="164" t="s">
        <v>447</v>
      </c>
      <c r="F460" s="164" t="s">
        <v>90</v>
      </c>
      <c r="G460" s="164" t="str">
        <f t="shared" si="122"/>
        <v>Peanut Wagon 28'</v>
      </c>
      <c r="H460" s="30">
        <v>8211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5"/>
      <c r="B461" s="1" t="str">
        <f t="shared" si="121"/>
        <v>0.76, Pull-type Peanut Combine 2R-36</v>
      </c>
      <c r="C461" s="168">
        <v>0.76</v>
      </c>
      <c r="D461" s="164" t="s">
        <v>452</v>
      </c>
      <c r="E461" s="164" t="s">
        <v>448</v>
      </c>
      <c r="F461" s="164" t="s">
        <v>449</v>
      </c>
      <c r="G461" s="164" t="str">
        <f t="shared" si="122"/>
        <v>Pull-type Peanut Combine 2R-36</v>
      </c>
      <c r="H461" s="30">
        <v>36516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5"/>
      <c r="B462" s="1" t="str">
        <f t="shared" si="121"/>
        <v>0.77, Pull-type Peanut Combine 4R-36</v>
      </c>
      <c r="C462" s="168">
        <v>0.77</v>
      </c>
      <c r="D462" s="164" t="s">
        <v>452</v>
      </c>
      <c r="E462" s="164" t="s">
        <v>448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5"/>
      <c r="B463" s="1" t="str">
        <f t="shared" si="121"/>
        <v>0.78, Pull-type Peanut Combine 6R-36</v>
      </c>
      <c r="C463" s="168">
        <v>0.78</v>
      </c>
      <c r="D463" s="164" t="s">
        <v>452</v>
      </c>
      <c r="E463" s="164" t="s">
        <v>448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452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5">
        <v>267</v>
      </c>
      <c r="B465" s="1" t="str">
        <f t="shared" si="121"/>
        <v>0.8, Stalk Shredder 20'</v>
      </c>
      <c r="C465" s="168">
        <v>0.8</v>
      </c>
      <c r="D465" s="164" t="s">
        <v>452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452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452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452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452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452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5703125" style="164" bestFit="1" customWidth="1"/>
    <col min="6" max="6" width="6.28515625" style="164" bestFit="1" customWidth="1"/>
    <col min="7" max="7" width="17.42578125" style="164" bestFit="1" customWidth="1"/>
    <col min="8" max="8" width="7" style="22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40" bestFit="1" customWidth="1"/>
    <col min="29" max="29" width="5" style="240" bestFit="1" customWidth="1"/>
    <col min="30" max="30" width="4.5703125" style="240" bestFit="1" customWidth="1"/>
    <col min="31" max="31" width="5.42578125" style="240" bestFit="1" customWidth="1"/>
    <col min="32" max="16384" width="8.85546875" style="1"/>
  </cols>
  <sheetData>
    <row r="1" spans="1:31" x14ac:dyDescent="0.25">
      <c r="A1" s="278" t="s">
        <v>458</v>
      </c>
      <c r="B1" s="278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97"/>
      <c r="D2" s="198"/>
      <c r="E2" s="171"/>
      <c r="O2" s="284" t="s">
        <v>163</v>
      </c>
      <c r="P2" s="284"/>
      <c r="Q2" s="277" t="s">
        <v>127</v>
      </c>
      <c r="R2" s="277"/>
    </row>
    <row r="3" spans="1:31" s="15" customFormat="1" ht="10.15" customHeight="1" x14ac:dyDescent="0.2">
      <c r="A3" s="26" t="s">
        <v>451</v>
      </c>
      <c r="B3" s="26" t="s">
        <v>125</v>
      </c>
      <c r="C3" s="199" t="s">
        <v>126</v>
      </c>
      <c r="D3" s="166" t="s">
        <v>453</v>
      </c>
      <c r="E3" s="167" t="s">
        <v>124</v>
      </c>
      <c r="F3" s="167" t="s">
        <v>123</v>
      </c>
      <c r="G3" s="167" t="s">
        <v>454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41" t="s">
        <v>461</v>
      </c>
      <c r="AA3" s="241" t="s">
        <v>460</v>
      </c>
      <c r="AB3" s="242" t="s">
        <v>462</v>
      </c>
      <c r="AC3" s="241" t="s">
        <v>463</v>
      </c>
      <c r="AD3" s="241" t="s">
        <v>464</v>
      </c>
      <c r="AE3" s="241" t="s">
        <v>465</v>
      </c>
    </row>
    <row r="4" spans="1:31" x14ac:dyDescent="0.25">
      <c r="B4" s="1" t="str">
        <f>CONCATENATE(C4,D4,E4,F4)</f>
        <v>0.01, Combine (200-249 hp) 240 hp</v>
      </c>
      <c r="C4" s="168">
        <v>0.01</v>
      </c>
      <c r="D4" s="164" t="s">
        <v>452</v>
      </c>
      <c r="E4" s="164" t="s">
        <v>434</v>
      </c>
      <c r="F4" s="164" t="s">
        <v>435</v>
      </c>
      <c r="G4" s="164" t="str">
        <f>CONCATENATE(E4,F4)</f>
        <v>Combine (200-249 hp) 240 hp</v>
      </c>
      <c r="H4" s="222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43">
        <f>((1.132-0.165*(L4^0.5)-0.0079*(M4^0.5))^2)*H4</f>
        <v>57500.423462880724</v>
      </c>
      <c r="AA4" s="243">
        <f>(H4-Z4)/L4</f>
        <v>19008.29804475994</v>
      </c>
      <c r="AB4" s="243">
        <f t="shared" ref="AB4:AB43" si="0">(Z4+H4)*intir</f>
        <v>30879.038111659262</v>
      </c>
      <c r="AC4" s="243">
        <f t="shared" ref="AC4:AC43" si="1">(Z4+H4)*itr</f>
        <v>8234.410163109138</v>
      </c>
      <c r="AD4" s="243">
        <f>(AA4+AB4+AC4)/M4</f>
        <v>290.60873159764174</v>
      </c>
      <c r="AE4" s="244">
        <f>AD4-Y4</f>
        <v>101.49393159764173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452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2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43">
        <f t="shared" ref="Z5:Z11" si="3">((1.132-0.165*(L5^0.5)-0.0079*(M5^0.5))^2)*H5</f>
        <v>59759.368670351039</v>
      </c>
      <c r="AA5" s="243">
        <f t="shared" ref="AA5:AA43" si="4">(H5-Z5)/L5</f>
        <v>19755.052610804079</v>
      </c>
      <c r="AB5" s="243">
        <f t="shared" si="0"/>
        <v>32092.143180331594</v>
      </c>
      <c r="AC5" s="243">
        <f t="shared" si="1"/>
        <v>8557.9048480884248</v>
      </c>
      <c r="AD5" s="243">
        <f t="shared" ref="AD5:AD43" si="5">(AA5+AB5+AC5)/M5</f>
        <v>302.0255031961205</v>
      </c>
      <c r="AE5" s="244">
        <f t="shared" ref="AE5:AE43" si="6">AD5-Y5</f>
        <v>105.4811931961205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452</v>
      </c>
      <c r="E6" s="164" t="s">
        <v>209</v>
      </c>
      <c r="F6" s="164" t="s">
        <v>161</v>
      </c>
      <c r="G6" s="164" t="str">
        <f t="shared" si="2"/>
        <v>Combine (300-349 hp) 325 hp</v>
      </c>
      <c r="H6" s="222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43">
        <f t="shared" si="3"/>
        <v>59480.886347614309</v>
      </c>
      <c r="AA6" s="243">
        <f t="shared" si="4"/>
        <v>22668.259471032143</v>
      </c>
      <c r="AB6" s="243">
        <f t="shared" si="0"/>
        <v>35188.279771285284</v>
      </c>
      <c r="AC6" s="243">
        <f t="shared" si="1"/>
        <v>9383.5412723427435</v>
      </c>
      <c r="AD6" s="243">
        <f t="shared" si="5"/>
        <v>224.13360171553387</v>
      </c>
      <c r="AE6" s="244">
        <f t="shared" si="6"/>
        <v>77.794768382200544</v>
      </c>
    </row>
    <row r="7" spans="1:31" x14ac:dyDescent="0.25">
      <c r="A7" s="1">
        <v>48</v>
      </c>
      <c r="B7" s="1" t="str">
        <f t="shared" si="7"/>
        <v>0.04, Combine (350-399 hp) 355 hp</v>
      </c>
      <c r="C7" s="168">
        <v>0.04</v>
      </c>
      <c r="D7" s="164" t="s">
        <v>452</v>
      </c>
      <c r="E7" s="164" t="s">
        <v>210</v>
      </c>
      <c r="F7" s="164" t="s">
        <v>160</v>
      </c>
      <c r="G7" s="164" t="str">
        <f t="shared" si="2"/>
        <v>Combine (350-399 hp) 355 hp</v>
      </c>
      <c r="H7" s="222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43">
        <f t="shared" si="3"/>
        <v>64056.339143584635</v>
      </c>
      <c r="AA7" s="243">
        <f t="shared" si="4"/>
        <v>24411.971738034612</v>
      </c>
      <c r="AB7" s="243">
        <f t="shared" si="0"/>
        <v>37895.070522922615</v>
      </c>
      <c r="AC7" s="243">
        <f t="shared" si="1"/>
        <v>10105.352139446031</v>
      </c>
      <c r="AD7" s="243">
        <f t="shared" si="5"/>
        <v>241.37464800134418</v>
      </c>
      <c r="AE7" s="244">
        <f t="shared" si="6"/>
        <v>83.778981334677525</v>
      </c>
    </row>
    <row r="8" spans="1:31" x14ac:dyDescent="0.25">
      <c r="A8" s="1">
        <v>62</v>
      </c>
      <c r="B8" s="1" t="str">
        <f t="shared" si="7"/>
        <v>0.05, Combine (400-449 hp) 425 hp</v>
      </c>
      <c r="C8" s="168">
        <v>0.05</v>
      </c>
      <c r="D8" s="164" t="s">
        <v>452</v>
      </c>
      <c r="E8" s="164" t="s">
        <v>211</v>
      </c>
      <c r="F8" s="164" t="s">
        <v>159</v>
      </c>
      <c r="G8" s="164" t="str">
        <f t="shared" si="2"/>
        <v>Combine (400-449 hp) 425 hp</v>
      </c>
      <c r="H8" s="222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43">
        <f t="shared" si="3"/>
        <v>68631.791939554969</v>
      </c>
      <c r="AA8" s="243">
        <f t="shared" si="4"/>
        <v>26155.684005037085</v>
      </c>
      <c r="AB8" s="243">
        <f t="shared" si="0"/>
        <v>40601.861274559946</v>
      </c>
      <c r="AC8" s="243">
        <f t="shared" si="1"/>
        <v>10827.163006549319</v>
      </c>
      <c r="AD8" s="243">
        <f t="shared" si="5"/>
        <v>258.6156942871545</v>
      </c>
      <c r="AE8" s="244">
        <f t="shared" si="6"/>
        <v>89.763194287154505</v>
      </c>
    </row>
    <row r="9" spans="1:31" x14ac:dyDescent="0.25">
      <c r="A9" s="1">
        <v>63</v>
      </c>
      <c r="B9" s="1" t="str">
        <f t="shared" si="7"/>
        <v>0.06, Combine (450-499 hp) 475 hp</v>
      </c>
      <c r="C9" s="168">
        <v>0.06</v>
      </c>
      <c r="D9" s="164" t="s">
        <v>452</v>
      </c>
      <c r="E9" s="164" t="s">
        <v>252</v>
      </c>
      <c r="F9" s="164" t="s">
        <v>158</v>
      </c>
      <c r="G9" s="164" t="str">
        <f t="shared" si="2"/>
        <v>Combine (450-499 hp) 475 hp</v>
      </c>
      <c r="H9" s="222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43">
        <f t="shared" si="3"/>
        <v>72658.190400008854</v>
      </c>
      <c r="AA9" s="243">
        <f t="shared" si="4"/>
        <v>27690.150799999261</v>
      </c>
      <c r="AB9" s="243">
        <f t="shared" si="0"/>
        <v>42983.837136000795</v>
      </c>
      <c r="AC9" s="243">
        <f t="shared" si="1"/>
        <v>11462.356569600213</v>
      </c>
      <c r="AD9" s="243">
        <f t="shared" si="5"/>
        <v>273.78781501866757</v>
      </c>
      <c r="AE9" s="244">
        <f t="shared" si="6"/>
        <v>95.029301685334246</v>
      </c>
    </row>
    <row r="10" spans="1:31" x14ac:dyDescent="0.25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452</v>
      </c>
      <c r="E10" s="164" t="s">
        <v>212</v>
      </c>
      <c r="F10" s="164" t="s">
        <v>157</v>
      </c>
      <c r="G10" s="164" t="str">
        <f t="shared" si="2"/>
        <v>Cotton Stripper 173 hp</v>
      </c>
      <c r="H10" s="222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43">
        <f t="shared" si="3"/>
        <v>53139.848822613072</v>
      </c>
      <c r="AA10" s="243">
        <f t="shared" si="4"/>
        <v>15032.518897173366</v>
      </c>
      <c r="AB10" s="243">
        <f t="shared" si="0"/>
        <v>20388.586394035177</v>
      </c>
      <c r="AC10" s="243">
        <f t="shared" si="1"/>
        <v>5436.9563717427136</v>
      </c>
      <c r="AD10" s="243">
        <f t="shared" si="5"/>
        <v>204.29030831475629</v>
      </c>
      <c r="AE10" s="244">
        <f t="shared" si="6"/>
        <v>64.183108314756282</v>
      </c>
    </row>
    <row r="11" spans="1:31" x14ac:dyDescent="0.25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452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43">
        <f t="shared" si="3"/>
        <v>3271.0465734886379</v>
      </c>
      <c r="AA11" s="243">
        <f t="shared" si="4"/>
        <v>2032.2109590365258</v>
      </c>
      <c r="AB11" s="243">
        <f t="shared" si="0"/>
        <v>3149.3741916139775</v>
      </c>
      <c r="AC11" s="243">
        <f t="shared" si="1"/>
        <v>839.83311776372739</v>
      </c>
      <c r="AD11" s="243">
        <f t="shared" si="5"/>
        <v>10.035697114023717</v>
      </c>
      <c r="AE11" s="244">
        <f t="shared" si="6"/>
        <v>3.39824625688086</v>
      </c>
    </row>
    <row r="12" spans="1:31" x14ac:dyDescent="0.25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452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43">
        <f>((0.981-0.093*(L12^0.5)-0.0058*(M12^0.5))^2)*H12</f>
        <v>4572.958928773548</v>
      </c>
      <c r="AA12" s="243">
        <f t="shared" si="4"/>
        <v>1028.5029336590324</v>
      </c>
      <c r="AB12" s="243">
        <f t="shared" si="0"/>
        <v>2119.0463035896191</v>
      </c>
      <c r="AC12" s="243">
        <f t="shared" si="1"/>
        <v>565.07901429056517</v>
      </c>
      <c r="AD12" s="243">
        <f t="shared" si="5"/>
        <v>6.1877137525653616</v>
      </c>
      <c r="AE12" s="244">
        <f t="shared" si="6"/>
        <v>2.2180486097082186</v>
      </c>
    </row>
    <row r="13" spans="1:31" x14ac:dyDescent="0.25">
      <c r="A13" s="1">
        <v>36</v>
      </c>
      <c r="B13" s="1" t="str">
        <f t="shared" si="7"/>
        <v>0.1, Tractor (40-59 hp) 2WD 50</v>
      </c>
      <c r="C13" s="168">
        <v>0.1</v>
      </c>
      <c r="D13" s="164" t="s">
        <v>452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43">
        <f t="shared" ref="Z13:Z20" si="18">((0.981-0.093*(L13^0.5)-0.0058*(M13^0.5))^2)*H13</f>
        <v>8285.4148333155135</v>
      </c>
      <c r="AA13" s="243">
        <f t="shared" si="4"/>
        <v>1863.4703690488918</v>
      </c>
      <c r="AB13" s="243">
        <f t="shared" si="0"/>
        <v>3839.3473349983965</v>
      </c>
      <c r="AC13" s="243">
        <f t="shared" si="1"/>
        <v>1023.8259559995724</v>
      </c>
      <c r="AD13" s="243">
        <f t="shared" si="5"/>
        <v>11.211072766744767</v>
      </c>
      <c r="AE13" s="244">
        <f t="shared" si="6"/>
        <v>4.0187224810304807</v>
      </c>
    </row>
    <row r="14" spans="1:31" x14ac:dyDescent="0.25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452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43">
        <f t="shared" si="18"/>
        <v>9563.8764693167213</v>
      </c>
      <c r="AA14" s="243">
        <f t="shared" si="4"/>
        <v>2151.0088236202341</v>
      </c>
      <c r="AB14" s="243">
        <f t="shared" si="0"/>
        <v>4431.7688822385044</v>
      </c>
      <c r="AC14" s="243">
        <f t="shared" si="1"/>
        <v>1181.8050352636012</v>
      </c>
      <c r="AD14" s="243">
        <f t="shared" si="5"/>
        <v>12.940971235203898</v>
      </c>
      <c r="AE14" s="244">
        <f t="shared" si="6"/>
        <v>4.6388220923467554</v>
      </c>
    </row>
    <row r="15" spans="1:31" x14ac:dyDescent="0.25">
      <c r="A15" s="1">
        <v>1</v>
      </c>
      <c r="B15" s="1" t="str">
        <f t="shared" si="7"/>
        <v>0.12, Tractor (40-59 hp) 2WD 50</v>
      </c>
      <c r="C15" s="168">
        <v>0.12</v>
      </c>
      <c r="D15" s="164" t="s">
        <v>452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43">
        <f t="shared" si="18"/>
        <v>4646.7163308505405</v>
      </c>
      <c r="AA15" s="243">
        <f t="shared" si="4"/>
        <v>1045.0916906535329</v>
      </c>
      <c r="AB15" s="243">
        <f t="shared" si="0"/>
        <v>2153.2244697765486</v>
      </c>
      <c r="AC15" s="243">
        <f t="shared" si="1"/>
        <v>574.19319194041293</v>
      </c>
      <c r="AD15" s="243">
        <f t="shared" si="5"/>
        <v>6.2875155872841564</v>
      </c>
      <c r="AE15" s="244">
        <f t="shared" si="6"/>
        <v>2.2538235872841561</v>
      </c>
    </row>
    <row r="16" spans="1:31" x14ac:dyDescent="0.25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452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43">
        <f t="shared" si="18"/>
        <v>6441.4797813906962</v>
      </c>
      <c r="AA16" s="243">
        <f t="shared" si="4"/>
        <v>1448.7514441863789</v>
      </c>
      <c r="AB16" s="243">
        <f t="shared" si="0"/>
        <v>2984.8931803251626</v>
      </c>
      <c r="AC16" s="243">
        <f t="shared" si="1"/>
        <v>795.97151475337682</v>
      </c>
      <c r="AD16" s="243">
        <f t="shared" si="5"/>
        <v>8.7160268987748637</v>
      </c>
      <c r="AE16" s="244">
        <f t="shared" si="6"/>
        <v>3.1243480416320057</v>
      </c>
    </row>
    <row r="17" spans="1:31" x14ac:dyDescent="0.25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452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43">
        <f t="shared" si="18"/>
        <v>10670.23750047161</v>
      </c>
      <c r="AA17" s="243">
        <f t="shared" si="4"/>
        <v>2399.8401785377423</v>
      </c>
      <c r="AB17" s="243">
        <f t="shared" si="0"/>
        <v>4944.4413750424446</v>
      </c>
      <c r="AC17" s="243">
        <f t="shared" si="1"/>
        <v>1318.5177000113185</v>
      </c>
      <c r="AD17" s="243">
        <f t="shared" si="5"/>
        <v>14.437998755985843</v>
      </c>
      <c r="AE17" s="244">
        <f t="shared" si="6"/>
        <v>5.1754467559858419</v>
      </c>
    </row>
    <row r="18" spans="1:31" x14ac:dyDescent="0.25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452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43">
        <f t="shared" si="18"/>
        <v>11776.598531626501</v>
      </c>
      <c r="AA18" s="243">
        <f t="shared" si="4"/>
        <v>2648.67153345525</v>
      </c>
      <c r="AB18" s="243">
        <f t="shared" si="0"/>
        <v>5457.1138678463849</v>
      </c>
      <c r="AC18" s="243">
        <f t="shared" si="1"/>
        <v>1455.2303647590361</v>
      </c>
      <c r="AD18" s="243">
        <f t="shared" si="5"/>
        <v>15.935026276767784</v>
      </c>
      <c r="AE18" s="244">
        <f t="shared" si="6"/>
        <v>5.7120714196249267</v>
      </c>
    </row>
    <row r="19" spans="1:31" x14ac:dyDescent="0.25">
      <c r="A19" s="1">
        <v>2</v>
      </c>
      <c r="B19" s="1" t="str">
        <f t="shared" si="7"/>
        <v>0.16, Tractor (60-89 hp) 2WD 75</v>
      </c>
      <c r="C19" s="168">
        <v>0.16</v>
      </c>
      <c r="D19" s="164" t="s">
        <v>452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43">
        <f t="shared" si="18"/>
        <v>8605.0302423158155</v>
      </c>
      <c r="AA19" s="243">
        <f t="shared" si="4"/>
        <v>1935.3549826917276</v>
      </c>
      <c r="AB19" s="243">
        <f t="shared" si="0"/>
        <v>3987.4527218084231</v>
      </c>
      <c r="AC19" s="243">
        <f t="shared" si="1"/>
        <v>1063.3207258155796</v>
      </c>
      <c r="AD19" s="243">
        <f t="shared" si="5"/>
        <v>11.643547383859552</v>
      </c>
      <c r="AE19" s="244">
        <f t="shared" si="6"/>
        <v>4.1737473838595518</v>
      </c>
    </row>
    <row r="20" spans="1:31" x14ac:dyDescent="0.25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452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43">
        <f t="shared" si="18"/>
        <v>9735.9770741630364</v>
      </c>
      <c r="AA20" s="243">
        <f t="shared" si="4"/>
        <v>2189.7159232740692</v>
      </c>
      <c r="AB20" s="243">
        <f t="shared" si="0"/>
        <v>4511.5179366746734</v>
      </c>
      <c r="AC20" s="243">
        <f t="shared" si="1"/>
        <v>1203.0714497799129</v>
      </c>
      <c r="AD20" s="243">
        <f t="shared" si="5"/>
        <v>13.173842182881092</v>
      </c>
      <c r="AE20" s="244">
        <f t="shared" si="6"/>
        <v>4.7222970400239497</v>
      </c>
    </row>
    <row r="21" spans="1:31" x14ac:dyDescent="0.25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452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43">
        <f>((0.942-0.1*(L21^0.5)-0.0008*(M21^0.5))^2)*H21</f>
        <v>19344.982625532048</v>
      </c>
      <c r="AA21" s="243">
        <f t="shared" si="4"/>
        <v>3215.5012410334248</v>
      </c>
      <c r="AB21" s="243">
        <f t="shared" si="0"/>
        <v>7533.628436297884</v>
      </c>
      <c r="AC21" s="243">
        <f t="shared" si="1"/>
        <v>2008.9675830127692</v>
      </c>
      <c r="AD21" s="243">
        <f t="shared" si="5"/>
        <v>21.263495433906794</v>
      </c>
      <c r="AE21" s="244">
        <f t="shared" si="6"/>
        <v>7.7965131481925098</v>
      </c>
    </row>
    <row r="22" spans="1:31" x14ac:dyDescent="0.25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452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43">
        <f t="shared" ref="Z22:Z28" si="19">((0.942-0.1*(L22^0.5)-0.0008*(M22^0.5))^2)*H22</f>
        <v>22809.298056094838</v>
      </c>
      <c r="AA22" s="243">
        <f t="shared" si="4"/>
        <v>3791.3358531360832</v>
      </c>
      <c r="AB22" s="243">
        <f t="shared" si="0"/>
        <v>8882.7568250485347</v>
      </c>
      <c r="AC22" s="243">
        <f t="shared" si="1"/>
        <v>2368.7351533462761</v>
      </c>
      <c r="AD22" s="243">
        <f t="shared" si="5"/>
        <v>25.071379719218154</v>
      </c>
      <c r="AE22" s="244">
        <f t="shared" si="6"/>
        <v>9.1927191477895818</v>
      </c>
    </row>
    <row r="23" spans="1:31" x14ac:dyDescent="0.25">
      <c r="A23" s="1">
        <v>3</v>
      </c>
      <c r="B23" s="1" t="str">
        <f t="shared" si="7"/>
        <v>0.2, Tractor (90-119 hp) 2WD 105</v>
      </c>
      <c r="C23" s="168">
        <v>0.2</v>
      </c>
      <c r="D23" s="164" t="s">
        <v>452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43">
        <f t="shared" si="19"/>
        <v>16647.108661907929</v>
      </c>
      <c r="AA23" s="243">
        <f t="shared" si="4"/>
        <v>2767.0636670065765</v>
      </c>
      <c r="AB23" s="243">
        <f t="shared" si="0"/>
        <v>6482.9797795717132</v>
      </c>
      <c r="AC23" s="243">
        <f t="shared" si="1"/>
        <v>1728.7946078857904</v>
      </c>
      <c r="AD23" s="243">
        <f t="shared" si="5"/>
        <v>18.298063424106797</v>
      </c>
      <c r="AE23" s="244">
        <f t="shared" si="6"/>
        <v>6.7092022812496541</v>
      </c>
    </row>
    <row r="24" spans="1:31" x14ac:dyDescent="0.25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452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43">
        <f t="shared" si="19"/>
        <v>17444.207787524145</v>
      </c>
      <c r="AA24" s="243">
        <f t="shared" si="4"/>
        <v>2899.556586605418</v>
      </c>
      <c r="AB24" s="243">
        <f t="shared" si="0"/>
        <v>6793.3987008771737</v>
      </c>
      <c r="AC24" s="243">
        <f t="shared" si="1"/>
        <v>1811.5729869005797</v>
      </c>
      <c r="AD24" s="243">
        <f t="shared" si="5"/>
        <v>19.174213790638618</v>
      </c>
      <c r="AE24" s="244">
        <f t="shared" si="6"/>
        <v>7.0304532192100453</v>
      </c>
    </row>
    <row r="25" spans="1:31" x14ac:dyDescent="0.25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452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43">
        <f t="shared" si="19"/>
        <v>29523.325306477593</v>
      </c>
      <c r="AA25" s="243">
        <f t="shared" si="4"/>
        <v>4907.3339066801718</v>
      </c>
      <c r="AB25" s="243">
        <f t="shared" si="0"/>
        <v>11497.439277582984</v>
      </c>
      <c r="AC25" s="243">
        <f t="shared" si="1"/>
        <v>3065.9838073554624</v>
      </c>
      <c r="AD25" s="243">
        <f t="shared" si="5"/>
        <v>32.451261652697696</v>
      </c>
      <c r="AE25" s="244">
        <f t="shared" si="6"/>
        <v>11.898640509840554</v>
      </c>
    </row>
    <row r="26" spans="1:31" x14ac:dyDescent="0.25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452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43">
        <f t="shared" si="19"/>
        <v>34949.730892403386</v>
      </c>
      <c r="AA26" s="243">
        <f t="shared" si="4"/>
        <v>5809.3049362569009</v>
      </c>
      <c r="AB26" s="243">
        <f t="shared" si="0"/>
        <v>13610.675780316305</v>
      </c>
      <c r="AC26" s="243">
        <f t="shared" si="1"/>
        <v>3629.5135414176816</v>
      </c>
      <c r="AD26" s="243">
        <f t="shared" si="5"/>
        <v>38.415823763318144</v>
      </c>
      <c r="AE26" s="244">
        <f t="shared" si="6"/>
        <v>14.08561804903243</v>
      </c>
    </row>
    <row r="27" spans="1:31" x14ac:dyDescent="0.25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452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43">
        <f t="shared" si="19"/>
        <v>38935.226520484473</v>
      </c>
      <c r="AA27" s="243">
        <f t="shared" si="4"/>
        <v>6471.7695342511088</v>
      </c>
      <c r="AB27" s="243">
        <f t="shared" si="0"/>
        <v>15162.770386843604</v>
      </c>
      <c r="AC27" s="243">
        <f t="shared" si="1"/>
        <v>4043.4054364916278</v>
      </c>
      <c r="AD27" s="243">
        <f t="shared" si="5"/>
        <v>42.796575595977238</v>
      </c>
      <c r="AE27" s="244">
        <f t="shared" si="6"/>
        <v>15.69187273883438</v>
      </c>
    </row>
    <row r="28" spans="1:31" x14ac:dyDescent="0.25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452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43">
        <f t="shared" si="19"/>
        <v>43840.451908891962</v>
      </c>
      <c r="AA28" s="243">
        <f t="shared" si="4"/>
        <v>7287.1105779362888</v>
      </c>
      <c r="AB28" s="243">
        <f t="shared" si="0"/>
        <v>17073.040671800278</v>
      </c>
      <c r="AC28" s="243">
        <f t="shared" si="1"/>
        <v>4552.8108458134075</v>
      </c>
      <c r="AD28" s="243">
        <f t="shared" si="5"/>
        <v>48.18827015924996</v>
      </c>
      <c r="AE28" s="244">
        <f t="shared" si="6"/>
        <v>17.668801587821385</v>
      </c>
    </row>
    <row r="29" spans="1:31" x14ac:dyDescent="0.25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452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43">
        <f>((0.976-0.119*(L29^0.5)-0.0019*(M29^0.5))^2)*H29</f>
        <v>37306.006686750472</v>
      </c>
      <c r="AA29" s="243">
        <f t="shared" si="4"/>
        <v>8700.9995223749665</v>
      </c>
      <c r="AB29" s="243">
        <f t="shared" si="0"/>
        <v>17678.340601807544</v>
      </c>
      <c r="AC29" s="243">
        <f t="shared" si="1"/>
        <v>4714.2241604820119</v>
      </c>
      <c r="AD29" s="243">
        <f t="shared" si="5"/>
        <v>51.82260714110754</v>
      </c>
      <c r="AE29" s="244">
        <f t="shared" si="6"/>
        <v>18.528641426821821</v>
      </c>
    </row>
    <row r="30" spans="1:31" x14ac:dyDescent="0.25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452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2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43">
        <f t="shared" ref="Z30:Z40" si="20">((0.976-0.119*(L30^0.5)-0.0019*(M30^0.5))^2)*H30</f>
        <v>37306.006686750472</v>
      </c>
      <c r="AA30" s="243">
        <f t="shared" si="4"/>
        <v>8700.9995223749665</v>
      </c>
      <c r="AB30" s="243">
        <f t="shared" si="0"/>
        <v>17678.340601807544</v>
      </c>
      <c r="AC30" s="243">
        <f t="shared" si="1"/>
        <v>4714.2241604820119</v>
      </c>
      <c r="AD30" s="243">
        <f t="shared" si="5"/>
        <v>51.82260714110754</v>
      </c>
      <c r="AE30" s="244">
        <f t="shared" si="6"/>
        <v>18.528641426821821</v>
      </c>
    </row>
    <row r="31" spans="1:31" x14ac:dyDescent="0.25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452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43">
        <f t="shared" si="20"/>
        <v>39936.558440303386</v>
      </c>
      <c r="AA31" s="243">
        <f t="shared" si="4"/>
        <v>9314.5315399783303</v>
      </c>
      <c r="AB31" s="243">
        <f t="shared" si="0"/>
        <v>18924.890259627304</v>
      </c>
      <c r="AC31" s="243">
        <f t="shared" si="1"/>
        <v>5046.6374025672812</v>
      </c>
      <c r="AD31" s="243">
        <f t="shared" si="5"/>
        <v>55.476765336954848</v>
      </c>
      <c r="AE31" s="244">
        <f t="shared" si="6"/>
        <v>19.835148194097705</v>
      </c>
    </row>
    <row r="32" spans="1:31" x14ac:dyDescent="0.25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452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43">
        <f t="shared" si="20"/>
        <v>54045.881482087221</v>
      </c>
      <c r="AA32" s="243">
        <f t="shared" si="4"/>
        <v>12605.294179850913</v>
      </c>
      <c r="AB32" s="243">
        <f t="shared" si="0"/>
        <v>25610.929333387845</v>
      </c>
      <c r="AC32" s="243">
        <f t="shared" si="1"/>
        <v>6829.581155570093</v>
      </c>
      <c r="AD32" s="243">
        <f t="shared" si="5"/>
        <v>75.076341114681412</v>
      </c>
      <c r="AE32" s="244">
        <f t="shared" si="6"/>
        <v>26.842775400395695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452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43">
        <f t="shared" si="20"/>
        <v>66242.075975832558</v>
      </c>
      <c r="AA33" s="243">
        <f t="shared" si="4"/>
        <v>15449.851716011961</v>
      </c>
      <c r="AB33" s="243">
        <f t="shared" si="0"/>
        <v>31390.386837824928</v>
      </c>
      <c r="AC33" s="243">
        <f t="shared" si="1"/>
        <v>8370.7698234199815</v>
      </c>
      <c r="AD33" s="243">
        <f t="shared" si="5"/>
        <v>92.018347295428129</v>
      </c>
      <c r="AE33" s="244">
        <f t="shared" si="6"/>
        <v>32.900215866856698</v>
      </c>
    </row>
    <row r="34" spans="1:31" x14ac:dyDescent="0.25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452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2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43">
        <f t="shared" si="20"/>
        <v>66242.075975832558</v>
      </c>
      <c r="AA34" s="243">
        <f t="shared" si="4"/>
        <v>15449.851716011961</v>
      </c>
      <c r="AB34" s="243">
        <f t="shared" si="0"/>
        <v>31390.386837824928</v>
      </c>
      <c r="AC34" s="243">
        <f t="shared" si="1"/>
        <v>8370.7698234199815</v>
      </c>
      <c r="AD34" s="243">
        <f t="shared" si="5"/>
        <v>92.018347295428129</v>
      </c>
      <c r="AE34" s="244">
        <f t="shared" si="6"/>
        <v>32.900215866856698</v>
      </c>
    </row>
    <row r="35" spans="1:31" x14ac:dyDescent="0.25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452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2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43">
        <f t="shared" si="20"/>
        <v>67198.6402498518</v>
      </c>
      <c r="AA35" s="243">
        <f t="shared" si="4"/>
        <v>15672.954267867728</v>
      </c>
      <c r="AB35" s="243">
        <f t="shared" si="0"/>
        <v>31843.677622486663</v>
      </c>
      <c r="AC35" s="243">
        <f t="shared" si="1"/>
        <v>8491.6473659964431</v>
      </c>
      <c r="AD35" s="243">
        <f t="shared" si="5"/>
        <v>93.347132093918049</v>
      </c>
      <c r="AE35" s="244">
        <f t="shared" si="6"/>
        <v>33.375309236775188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452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2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43">
        <f t="shared" si="20"/>
        <v>64807.229564803703</v>
      </c>
      <c r="AA36" s="243">
        <f t="shared" si="4"/>
        <v>15115.197888228306</v>
      </c>
      <c r="AB36" s="243">
        <f t="shared" si="0"/>
        <v>30710.450660832332</v>
      </c>
      <c r="AC36" s="243">
        <f t="shared" si="1"/>
        <v>8189.4535095552892</v>
      </c>
      <c r="AD36" s="243">
        <f t="shared" si="5"/>
        <v>90.02517009769322</v>
      </c>
      <c r="AE36" s="244">
        <f t="shared" si="6"/>
        <v>32.187575811978938</v>
      </c>
    </row>
    <row r="37" spans="1:31" x14ac:dyDescent="0.25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452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2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43">
        <f t="shared" si="20"/>
        <v>74851.154442005747</v>
      </c>
      <c r="AA37" s="243">
        <f t="shared" si="4"/>
        <v>17457.774682713876</v>
      </c>
      <c r="AB37" s="243">
        <f t="shared" si="0"/>
        <v>35470.003899780517</v>
      </c>
      <c r="AC37" s="243">
        <f t="shared" si="1"/>
        <v>9458.6677066081375</v>
      </c>
      <c r="AD37" s="243">
        <f t="shared" si="5"/>
        <v>103.97741048183755</v>
      </c>
      <c r="AE37" s="244">
        <f t="shared" si="6"/>
        <v>37.17605619612327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452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2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43">
        <f t="shared" si="20"/>
        <v>87047.348935751099</v>
      </c>
      <c r="AA38" s="243">
        <f t="shared" si="4"/>
        <v>20302.332218874919</v>
      </c>
      <c r="AB38" s="243">
        <f t="shared" si="0"/>
        <v>41249.461404217604</v>
      </c>
      <c r="AC38" s="243">
        <f t="shared" si="1"/>
        <v>10999.856374458028</v>
      </c>
      <c r="AD38" s="243">
        <f t="shared" si="5"/>
        <v>120.91941666258427</v>
      </c>
      <c r="AE38" s="244">
        <f t="shared" si="6"/>
        <v>43.233496662584272</v>
      </c>
    </row>
    <row r="39" spans="1:31" x14ac:dyDescent="0.25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452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2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43">
        <f t="shared" si="20"/>
        <v>95417.28633341947</v>
      </c>
      <c r="AA39" s="243">
        <f t="shared" si="4"/>
        <v>22254.479547612893</v>
      </c>
      <c r="AB39" s="243">
        <f t="shared" si="0"/>
        <v>45215.755770007752</v>
      </c>
      <c r="AC39" s="243">
        <f t="shared" si="1"/>
        <v>12057.534872002068</v>
      </c>
      <c r="AD39" s="243">
        <f t="shared" si="5"/>
        <v>132.54628364937119</v>
      </c>
      <c r="AE39" s="244">
        <f t="shared" si="6"/>
        <v>47.390563649371188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452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2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43">
        <f t="shared" si="20"/>
        <v>86329.92573023666</v>
      </c>
      <c r="AA40" s="243">
        <f t="shared" si="4"/>
        <v>20135.005304983093</v>
      </c>
      <c r="AB40" s="243">
        <f t="shared" si="0"/>
        <v>40909.493315721302</v>
      </c>
      <c r="AC40" s="243">
        <f t="shared" si="1"/>
        <v>10909.198217525682</v>
      </c>
      <c r="AD40" s="243">
        <f t="shared" si="5"/>
        <v>119.92282806371681</v>
      </c>
      <c r="AE40" s="244">
        <f t="shared" si="6"/>
        <v>42.877176635145375</v>
      </c>
    </row>
    <row r="41" spans="1:31" x14ac:dyDescent="0.25">
      <c r="A41" s="1">
        <v>68</v>
      </c>
      <c r="B41" s="1" t="str">
        <f t="shared" si="7"/>
        <v>0.38, Utility Vehicle 500 CC</v>
      </c>
      <c r="C41" s="168">
        <v>0.38</v>
      </c>
      <c r="D41" s="164" t="s">
        <v>452</v>
      </c>
      <c r="E41" s="164" t="s">
        <v>213</v>
      </c>
      <c r="F41" s="164" t="s">
        <v>133</v>
      </c>
      <c r="G41" s="164" t="str">
        <f t="shared" si="2"/>
        <v>Utility Vehicle 500 CC</v>
      </c>
      <c r="H41" s="222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43">
        <f>((0.786-0.063*(L41^0.5)-0.0033*(M41^0.5))^2)*H41</f>
        <v>1681.4975779439137</v>
      </c>
      <c r="AA41" s="243">
        <f t="shared" si="4"/>
        <v>353.46445871829189</v>
      </c>
      <c r="AB41" s="243">
        <f t="shared" si="0"/>
        <v>748.03478201495216</v>
      </c>
      <c r="AC41" s="243">
        <f t="shared" si="1"/>
        <v>199.47594187065394</v>
      </c>
      <c r="AD41" s="243">
        <f t="shared" si="5"/>
        <v>6.5048759130194904</v>
      </c>
      <c r="AE41" s="244">
        <f t="shared" si="6"/>
        <v>2.39096091301949</v>
      </c>
    </row>
    <row r="42" spans="1:31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452</v>
      </c>
      <c r="E42" s="164" t="s">
        <v>213</v>
      </c>
      <c r="F42" s="164" t="s">
        <v>132</v>
      </c>
      <c r="G42" s="164" t="str">
        <f t="shared" si="2"/>
        <v>Utility Vehicle 600 CC</v>
      </c>
      <c r="H42" s="222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43">
        <f t="shared" ref="Z42:Z43" si="21">((0.786-0.063*(L42^0.5)-0.0033*(M42^0.5))^2)*H42</f>
        <v>2974.9572532853858</v>
      </c>
      <c r="AA42" s="243">
        <f t="shared" si="4"/>
        <v>625.36019619390106</v>
      </c>
      <c r="AB42" s="243">
        <f t="shared" si="0"/>
        <v>1323.4461527956846</v>
      </c>
      <c r="AC42" s="243">
        <f t="shared" si="1"/>
        <v>352.91897407884926</v>
      </c>
      <c r="AD42" s="243">
        <f t="shared" si="5"/>
        <v>11.508626615342175</v>
      </c>
      <c r="AE42" s="244">
        <f t="shared" si="6"/>
        <v>4.2301616153421753</v>
      </c>
    </row>
    <row r="43" spans="1:31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452</v>
      </c>
      <c r="E43" s="164" t="s">
        <v>213</v>
      </c>
      <c r="F43" s="164" t="s">
        <v>131</v>
      </c>
      <c r="G43" s="164" t="str">
        <f t="shared" si="2"/>
        <v>Utility Vehicle 800 CC</v>
      </c>
      <c r="H43" s="222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43">
        <f t="shared" si="21"/>
        <v>3699.2946714766099</v>
      </c>
      <c r="AA43" s="243">
        <f t="shared" si="4"/>
        <v>777.62180918024217</v>
      </c>
      <c r="AB43" s="243">
        <f t="shared" si="0"/>
        <v>1645.6765204328949</v>
      </c>
      <c r="AC43" s="243">
        <f t="shared" si="1"/>
        <v>438.84707211543866</v>
      </c>
      <c r="AD43" s="243">
        <f t="shared" si="5"/>
        <v>14.310727008642878</v>
      </c>
      <c r="AE43" s="244">
        <f t="shared" si="6"/>
        <v>5.2601140086428781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2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78" t="s">
        <v>457</v>
      </c>
      <c r="B1" s="278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8"/>
      <c r="D2" s="198"/>
      <c r="E2" s="170"/>
      <c r="S2" s="276" t="s">
        <v>128</v>
      </c>
      <c r="T2" s="276"/>
      <c r="U2" s="276"/>
      <c r="V2" s="276"/>
      <c r="W2" s="276"/>
      <c r="X2" s="276"/>
      <c r="Y2" s="277" t="s">
        <v>127</v>
      </c>
      <c r="Z2" s="277"/>
    </row>
    <row r="3" spans="1:36" s="15" customFormat="1" ht="10.15" customHeight="1" x14ac:dyDescent="0.2">
      <c r="A3" s="26" t="s">
        <v>451</v>
      </c>
      <c r="B3" s="26" t="s">
        <v>125</v>
      </c>
      <c r="C3" s="166" t="s">
        <v>126</v>
      </c>
      <c r="D3" s="166" t="s">
        <v>453</v>
      </c>
      <c r="E3" s="167" t="s">
        <v>124</v>
      </c>
      <c r="F3" s="167" t="s">
        <v>123</v>
      </c>
      <c r="G3" s="167" t="s">
        <v>454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452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93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95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452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93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95">
        <f t="shared" si="12"/>
        <v>288.45599999999996</v>
      </c>
    </row>
    <row r="6" spans="1:36" x14ac:dyDescent="0.25">
      <c r="A6" s="1">
        <v>15</v>
      </c>
      <c r="B6" s="1" t="str">
        <f t="shared" si="13"/>
        <v>0.03, Cotton Picker 5R-30 (250)</v>
      </c>
      <c r="C6" s="164">
        <v>0.03</v>
      </c>
      <c r="D6" s="164" t="s">
        <v>452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93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95">
        <f t="shared" si="12"/>
        <v>234.88559999999998</v>
      </c>
    </row>
    <row r="7" spans="1:36" x14ac:dyDescent="0.25">
      <c r="A7" s="1">
        <v>92</v>
      </c>
      <c r="B7" s="1" t="str">
        <f t="shared" si="13"/>
        <v>0.04, Cotton Picker 4R-36 (255)</v>
      </c>
      <c r="C7" s="164">
        <v>0.04</v>
      </c>
      <c r="D7" s="164" t="s">
        <v>452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93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95">
        <f t="shared" si="12"/>
        <v>234.88559999999998</v>
      </c>
    </row>
    <row r="8" spans="1:36" x14ac:dyDescent="0.25">
      <c r="A8" s="1">
        <v>45</v>
      </c>
      <c r="B8" s="1" t="str">
        <f t="shared" si="13"/>
        <v>0.05, Cotton Picker 4R-36 (350)</v>
      </c>
      <c r="C8" s="164">
        <v>0.05</v>
      </c>
      <c r="D8" s="164" t="s">
        <v>452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93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95">
        <f t="shared" si="12"/>
        <v>334.60896000000002</v>
      </c>
    </row>
    <row r="9" spans="1:36" x14ac:dyDescent="0.25">
      <c r="A9" s="1">
        <v>105</v>
      </c>
      <c r="B9" s="1" t="str">
        <f t="shared" si="13"/>
        <v>0.06, Cotton Picker 6R-30 (355)</v>
      </c>
      <c r="C9" s="164">
        <v>0.06</v>
      </c>
      <c r="D9" s="164" t="s">
        <v>452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93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95">
        <f t="shared" si="12"/>
        <v>383.23440000000005</v>
      </c>
    </row>
    <row r="10" spans="1:36" x14ac:dyDescent="0.25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452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93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95">
        <f t="shared" si="12"/>
        <v>340.37807999999995</v>
      </c>
    </row>
    <row r="11" spans="1:36" x14ac:dyDescent="0.25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452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93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95">
        <f t="shared" si="12"/>
        <v>340.37807999999995</v>
      </c>
    </row>
    <row r="12" spans="1:36" x14ac:dyDescent="0.25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452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93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95">
        <f t="shared" si="12"/>
        <v>393.94847999999996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452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93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95">
        <f t="shared" si="12"/>
        <v>451.63968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452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93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95">
        <f t="shared" si="12"/>
        <v>501.08927999999997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452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93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95">
        <f t="shared" si="12"/>
        <v>567.02207999999996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452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93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95">
        <f t="shared" si="12"/>
        <v>499.44095999999996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452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93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95">
        <f t="shared" si="12"/>
        <v>567.84624000000008</v>
      </c>
    </row>
    <row r="18" spans="1:33" s="222" customFormat="1" x14ac:dyDescent="0.25">
      <c r="A18" s="222">
        <v>107</v>
      </c>
      <c r="B18" s="222" t="str">
        <f t="shared" si="13"/>
        <v xml:space="preserve">0.15, Backhoe 2WD Cab </v>
      </c>
      <c r="C18" s="164">
        <v>0.15</v>
      </c>
      <c r="D18" s="164" t="s">
        <v>452</v>
      </c>
      <c r="E18" s="185" t="s">
        <v>467</v>
      </c>
      <c r="F18" s="185" t="s">
        <v>466</v>
      </c>
      <c r="G18" s="164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2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46">
        <f t="shared" si="3"/>
        <v>4.9988896400696996</v>
      </c>
      <c r="Y18" s="8">
        <f t="shared" si="4"/>
        <v>765</v>
      </c>
      <c r="Z18" s="193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95">
        <f t="shared" ref="AG18" si="18">AF18/Q18</f>
        <v>61.591000000000001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452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93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95">
        <f t="shared" si="12"/>
        <v>136.10413714285716</v>
      </c>
    </row>
    <row r="20" spans="1:33" x14ac:dyDescent="0.25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452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93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95">
        <f t="shared" si="12"/>
        <v>20.72173714285714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452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93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96">
        <f t="shared" si="12"/>
        <v>48.50770285714286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452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93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95">
        <f t="shared" si="12"/>
        <v>48.50770285714286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452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93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95">
        <f t="shared" si="12"/>
        <v>81.945051428571432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452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93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95">
        <f t="shared" si="12"/>
        <v>81.945051428571432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452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93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95">
        <f t="shared" si="12"/>
        <v>119.62093714285714</v>
      </c>
    </row>
    <row r="26" spans="1:33" x14ac:dyDescent="0.25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452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93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95">
        <f t="shared" si="12"/>
        <v>113.96955428571428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452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93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95">
        <f t="shared" si="12"/>
        <v>120.56283428571427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452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93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95">
        <f t="shared" si="12"/>
        <v>136.57508571428573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452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93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95">
        <f t="shared" si="12"/>
        <v>142.22646857142857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452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93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95">
        <f t="shared" si="12"/>
        <v>149.76164571428572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452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93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95">
        <f t="shared" si="12"/>
        <v>7.2114000000000003</v>
      </c>
    </row>
    <row r="32" spans="1:33" x14ac:dyDescent="0.25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452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93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95">
        <f t="shared" si="12"/>
        <v>12.898104</v>
      </c>
    </row>
    <row r="33" spans="4:7" x14ac:dyDescent="0.25">
      <c r="D33" s="164" t="s">
        <v>452</v>
      </c>
      <c r="G33" s="164" t="str">
        <f t="shared" si="14"/>
        <v/>
      </c>
    </row>
    <row r="34" spans="4:7" x14ac:dyDescent="0.25">
      <c r="D34" s="164" t="s">
        <v>452</v>
      </c>
      <c r="G34" s="164" t="str">
        <f t="shared" si="14"/>
        <v/>
      </c>
    </row>
    <row r="35" spans="4:7" x14ac:dyDescent="0.25">
      <c r="D35" s="164" t="s">
        <v>452</v>
      </c>
      <c r="G35" s="164" t="str">
        <f t="shared" si="14"/>
        <v/>
      </c>
    </row>
    <row r="36" spans="4:7" x14ac:dyDescent="0.25">
      <c r="D36" s="164" t="s">
        <v>452</v>
      </c>
      <c r="G36" s="164" t="str">
        <f t="shared" si="14"/>
        <v/>
      </c>
    </row>
    <row r="37" spans="4:7" x14ac:dyDescent="0.25">
      <c r="D37" s="164" t="s">
        <v>452</v>
      </c>
      <c r="G37" s="164" t="str">
        <f t="shared" si="14"/>
        <v/>
      </c>
    </row>
    <row r="38" spans="4:7" x14ac:dyDescent="0.25">
      <c r="D38" s="164" t="s">
        <v>452</v>
      </c>
      <c r="G38" s="164" t="str">
        <f t="shared" si="14"/>
        <v/>
      </c>
    </row>
    <row r="39" spans="4:7" x14ac:dyDescent="0.25">
      <c r="D39" s="164" t="s">
        <v>452</v>
      </c>
      <c r="G39" s="164" t="str">
        <f t="shared" si="14"/>
        <v/>
      </c>
    </row>
    <row r="40" spans="4:7" x14ac:dyDescent="0.25">
      <c r="D40" s="164" t="s">
        <v>452</v>
      </c>
      <c r="G40" s="164" t="str">
        <f t="shared" si="14"/>
        <v/>
      </c>
    </row>
    <row r="41" spans="4:7" x14ac:dyDescent="0.25">
      <c r="D41" s="164" t="s">
        <v>452</v>
      </c>
      <c r="G41" s="164" t="str">
        <f t="shared" si="14"/>
        <v/>
      </c>
    </row>
    <row r="42" spans="4:7" x14ac:dyDescent="0.25">
      <c r="D42" s="164" t="s">
        <v>452</v>
      </c>
      <c r="G42" s="164" t="str">
        <f t="shared" si="14"/>
        <v/>
      </c>
    </row>
    <row r="43" spans="4:7" x14ac:dyDescent="0.25">
      <c r="D43" s="164" t="s">
        <v>452</v>
      </c>
      <c r="G43" s="164" t="str">
        <f t="shared" si="14"/>
        <v/>
      </c>
    </row>
    <row r="44" spans="4:7" x14ac:dyDescent="0.25">
      <c r="D44" s="164" t="s">
        <v>452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2014-01-13T20:58:51Z</cp:lastPrinted>
  <dcterms:created xsi:type="dcterms:W3CDTF">2010-11-24T19:49:39Z</dcterms:created>
  <dcterms:modified xsi:type="dcterms:W3CDTF">2016-01-23T19:07:42Z</dcterms:modified>
</cp:coreProperties>
</file>