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1"/>
  </bookViews>
  <sheets>
    <sheet name="Instructions" sheetId="1" r:id="rId1"/>
    <sheet name="Main" sheetId="2" r:id="rId2"/>
    <sheet name="Procurement" sheetId="3" r:id="rId3"/>
    <sheet name="Risk Management" sheetId="4" r:id="rId4"/>
    <sheet name="Sensitivity" sheetId="5" r:id="rId5"/>
    <sheet name="H" sheetId="6" r:id="rId6"/>
    <sheet name="I" sheetId="7" r:id="rId7"/>
    <sheet name="J" sheetId="8" r:id="rId8"/>
    <sheet name="K" sheetId="9" r:id="rId9"/>
  </sheets>
  <externalReferences>
    <externalReference r:id="rId12"/>
    <externalReference r:id="rId13"/>
    <externalReference r:id="rId14"/>
  </externalReferences>
  <definedNames>
    <definedName name="\AUTOEXEC">'Main'!$U$269:$U$271</definedName>
    <definedName name="\R">'Main'!$U$296:$U$301</definedName>
    <definedName name="adg">'Main'!$G$32</definedName>
    <definedName name="AGVAR" localSheetId="2">#N/A</definedName>
    <definedName name="AGVAR">#N/A</definedName>
    <definedName name="ALLDATA" localSheetId="2">'[3]Instructions:G'!$A$4:$N$5</definedName>
    <definedName name="ALLDATA">Instructions:'Main'!$B$4:$O$5</definedName>
    <definedName name="alldata1">'[1]Instructions:G'!$A$4:$N$5</definedName>
    <definedName name="Basis">'Main'!$I$28</definedName>
    <definedName name="BREAKEVEN">#N/A</definedName>
    <definedName name="BUTTON1">#N/A</definedName>
    <definedName name="BUTTON2">#N/A</definedName>
    <definedName name="Cash">'Main'!$I$29</definedName>
    <definedName name="CUMPGPH" localSheetId="2">'[3]Instructions:G'!$A$4:$A$4</definedName>
    <definedName name="CUMPGPH">Instructions:'Main'!$B$4:$B$4</definedName>
    <definedName name="CUMPGPH2" localSheetId="2">'[3]Instructions:G'!$A$5:$A$5</definedName>
    <definedName name="CUMPGPH2">Instructions:'Main'!$B$5:$B$5</definedName>
    <definedName name="death">'Main'!$I$19</definedName>
    <definedName name="dof">'Main'!$I$25</definedName>
    <definedName name="ENR">'Main'!$W$189:$W$189</definedName>
    <definedName name="ENR_MNR">'Main'!$Y$183:$Y$183</definedName>
    <definedName name="ETR">'Main'!$W$188:$W$188</definedName>
    <definedName name="exp_price">'Main'!$Y$157</definedName>
    <definedName name="EXPC">'Main'!$W$157:$W$157</definedName>
    <definedName name="EXPP">'Main'!$Y$157:$Y$157</definedName>
    <definedName name="feed_conversion">'Main'!$I$21</definedName>
    <definedName name="feed_cost">'Main'!$I$44</definedName>
    <definedName name="feed_ton">'Main'!$H$44</definedName>
    <definedName name="futures">'Main'!$I$27</definedName>
    <definedName name="GPH7" localSheetId="2">'[3]Instructions:G'!$H$4:$H$4</definedName>
    <definedName name="GPH7">Instructions:'Main'!$I$4:$I$4</definedName>
    <definedName name="GPH72" localSheetId="2">'[3]Instructions:G'!$H$5:$H$5</definedName>
    <definedName name="GPH72">Instructions:'Main'!$I$5:$I$5</definedName>
    <definedName name="GPHDATA1">'Main'!$D$93:$J$93</definedName>
    <definedName name="GPHDATA2">'Main'!$D$95:$J$95</definedName>
    <definedName name="GPHDATA3" localSheetId="2">'[3]Instructions:G'!$A$4:$N$4</definedName>
    <definedName name="GPHDATA3">Instructions:'Main'!$B$4:$O$4</definedName>
    <definedName name="GPHINS">'Main'!$AB$1:$AB$1</definedName>
    <definedName name="gross_wt">'Main'!$I$23</definedName>
    <definedName name="in_date">'Main'!$I$17</definedName>
    <definedName name="in_price">'Main'!$H$39</definedName>
    <definedName name="in_wt">'Main'!$F$39</definedName>
    <definedName name="int_rate">'Main'!$H$50</definedName>
    <definedName name="markup">'Main'!$I$45</definedName>
    <definedName name="MC">'Main'!$W$184:$W$184</definedName>
    <definedName name="mkt_shrink">'Main'!$I$22</definedName>
    <definedName name="mktng_cst">'Procurement'!#REF!</definedName>
    <definedName name="MNR">'Main'!$W$187:$W$187</definedName>
    <definedName name="MP">'Main'!$W$183:$W$183</definedName>
    <definedName name="MTC">'Main'!$W$186:$W$186</definedName>
    <definedName name="MTR">'Main'!$W$185:$W$185</definedName>
    <definedName name="num_finished">'Main'!$I$20</definedName>
    <definedName name="num_placed">'Main'!$I$18</definedName>
    <definedName name="NUM1">'Main'!$D$93:$D$93</definedName>
    <definedName name="NUM2">'Main'!$E$93:$E$93</definedName>
    <definedName name="NUM3">'Main'!$F$93:$F$93</definedName>
    <definedName name="NUM4">'Main'!$G$93:$G$93</definedName>
    <definedName name="NUM5">'Main'!$H$93:$H$93</definedName>
    <definedName name="NUM6">'Main'!$I$93:$I$93</definedName>
    <definedName name="NUM7">'Main'!$J$93:$J$93</definedName>
    <definedName name="out_date">'Main'!$I$26</definedName>
    <definedName name="out_wt">'Main'!$I$24</definedName>
    <definedName name="payment">'[2]Fixed_Payment'!$J$45</definedName>
    <definedName name="_xlnm.Print_Area" localSheetId="0">'Instructions'!$B$13:$J$100</definedName>
    <definedName name="proc_cost">'Procurement'!$H$10</definedName>
    <definedName name="PROCUREMENT">#N/A</definedName>
    <definedName name="PROCURMENTCOST">#N/A</definedName>
    <definedName name="RISK" localSheetId="2">#N/A</definedName>
    <definedName name="RISK">#N/A</definedName>
    <definedName name="STRHH">'Main'!$Y$184:$Y$184</definedName>
    <definedName name="STRHL">'Main'!$Y$186:$Y$186</definedName>
    <definedName name="STRLH">'Main'!$Y$187:$Y$187</definedName>
    <definedName name="STRLL">'Main'!$Y$185:$Y$185</definedName>
    <definedName name="STRO">'Main'!$Y$188:$Y$188</definedName>
    <definedName name="STRP">'Main'!$Y$189:$Y$189</definedName>
    <definedName name="TFC">'[2]Fixed_Cost'!$J$44</definedName>
    <definedName name="TITLE1">#N/A</definedName>
    <definedName name="TITLE2">#N/A</definedName>
    <definedName name="TITLE3">#N/A</definedName>
    <definedName name="TITLE4">#N/A</definedName>
    <definedName name="tons_hd">'Main'!$F$44</definedName>
    <definedName name="TOP">#N/A</definedName>
    <definedName name="total_calf_cost">'Main'!$I$39</definedName>
    <definedName name="total_feed_cost">'Sensitivity'!$I$3</definedName>
    <definedName name="total_production">'Main'!$E$81</definedName>
    <definedName name="tvc">'Main'!$I$52</definedName>
    <definedName name="UNIT">'Main'!$I$18:$I$18</definedName>
    <definedName name="UNITCOST">'Main'!$I$73:$I$73</definedName>
    <definedName name="yardage">'Main'!$I$46</definedName>
  </definedNames>
  <calcPr fullCalcOnLoad="1"/>
</workbook>
</file>

<file path=xl/comments2.xml><?xml version="1.0" encoding="utf-8"?>
<comments xmlns="http://schemas.openxmlformats.org/spreadsheetml/2006/main">
  <authors>
    <author>Curt Lacy</author>
  </authors>
  <commentList>
    <comment ref="B44" authorId="0">
      <text>
        <r>
          <rPr>
            <sz val="10"/>
            <rFont val="Tahoma"/>
            <family val="0"/>
          </rPr>
          <t>Make sure you use the basis (Dry Matter or As-Fed as you used for Feed Conversion.</t>
        </r>
      </text>
    </comment>
    <comment ref="C21" authorId="0">
      <text>
        <r>
          <rPr>
            <sz val="10"/>
            <rFont val="Tahoma"/>
            <family val="0"/>
          </rPr>
          <t>Does not matter if it is dry matter or as-fed basis.  Only that it is consistent with reported feed price.</t>
        </r>
      </text>
    </comment>
  </commentList>
</comments>
</file>

<file path=xl/sharedStrings.xml><?xml version="1.0" encoding="utf-8"?>
<sst xmlns="http://schemas.openxmlformats.org/spreadsheetml/2006/main" count="407" uniqueCount="217">
  <si>
    <t/>
  </si>
  <si>
    <t>-</t>
  </si>
  <si>
    <t xml:space="preserve"> </t>
  </si>
  <si>
    <t xml:space="preserve">   </t>
  </si>
  <si>
    <t xml:space="preserve">       </t>
  </si>
  <si>
    <t xml:space="preserve">          </t>
  </si>
  <si>
    <t xml:space="preserve">           </t>
  </si>
  <si>
    <t xml:space="preserve">     ITEM</t>
  </si>
  <si>
    <t xml:space="preserve">    ($)</t>
  </si>
  <si>
    <t xml:space="preserve">    EXP.</t>
  </si>
  <si>
    <t xml:space="preserve">    ITEM</t>
  </si>
  <si>
    <t xml:space="preserve">    Must match budget Entries</t>
  </si>
  <si>
    <t xml:space="preserve">   $/CWT.</t>
  </si>
  <si>
    <t xml:space="preserve">   $/HD.</t>
  </si>
  <si>
    <t xml:space="preserve">   TOTAL</t>
  </si>
  <si>
    <t xml:space="preserve">  ($/cwt.)</t>
  </si>
  <si>
    <t xml:space="preserve">  (units)</t>
  </si>
  <si>
    <t xml:space="preserve">  Best C.</t>
  </si>
  <si>
    <t xml:space="preserve">  Best P</t>
  </si>
  <si>
    <t xml:space="preserve">  CHANCE FOR PROFIT </t>
  </si>
  <si>
    <t xml:space="preserve">  ENR</t>
  </si>
  <si>
    <t xml:space="preserve">  ENR_MNR</t>
  </si>
  <si>
    <t xml:space="preserve">  ETR</t>
  </si>
  <si>
    <t xml:space="preserve">  Exp. C.</t>
  </si>
  <si>
    <t xml:space="preserve">  Exp. P</t>
  </si>
  <si>
    <t xml:space="preserve">  EXP.PRICE</t>
  </si>
  <si>
    <t xml:space="preserve">  H&amp;MC</t>
  </si>
  <si>
    <t xml:space="preserve">  MC</t>
  </si>
  <si>
    <t xml:space="preserve">  Med. C.</t>
  </si>
  <si>
    <t xml:space="preserve">  Med. P</t>
  </si>
  <si>
    <t xml:space="preserve">  MNR</t>
  </si>
  <si>
    <t xml:space="preserve">  MP</t>
  </si>
  <si>
    <t xml:space="preserve">  MTC</t>
  </si>
  <si>
    <t xml:space="preserve">  MTR</t>
  </si>
  <si>
    <t xml:space="preserve">  Opt. C.</t>
  </si>
  <si>
    <t xml:space="preserve">  Opt. P</t>
  </si>
  <si>
    <t xml:space="preserve">  Pess. C.</t>
  </si>
  <si>
    <t xml:space="preserve">  Pess. P</t>
  </si>
  <si>
    <t xml:space="preserve">  Pessimistic</t>
  </si>
  <si>
    <t xml:space="preserve">  SCO</t>
  </si>
  <si>
    <t xml:space="preserve">  SCP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</si>
  <si>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</si>
  <si>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</si>
  <si>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</si>
  <si>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</si>
  <si>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</si>
  <si>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</si>
  <si>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</si>
  <si>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</si>
  <si>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T.C.</t>
  </si>
  <si>
    <t xml:space="preserve">  TOTAL</t>
  </si>
  <si>
    <t xml:space="preserve">  VCO</t>
  </si>
  <si>
    <t xml:space="preserve">  VCP</t>
  </si>
  <si>
    <t xml:space="preserve">  VNRHH</t>
  </si>
  <si>
    <t xml:space="preserve">  VNRHL</t>
  </si>
  <si>
    <t xml:space="preserve">  VNRLH</t>
  </si>
  <si>
    <t xml:space="preserve">  VNRLL</t>
  </si>
  <si>
    <t xml:space="preserve">  VPO</t>
  </si>
  <si>
    <t xml:space="preserve">  VPP</t>
  </si>
  <si>
    <t xml:space="preserve">  Worst C.</t>
  </si>
  <si>
    <t xml:space="preserve">  Worst P</t>
  </si>
  <si>
    <t xml:space="preserve"> ($/hd.)</t>
  </si>
  <si>
    <t xml:space="preserve"> ($/unit)</t>
  </si>
  <si>
    <t xml:space="preserve"> FINISHING  BUDGET</t>
  </si>
  <si>
    <t xml:space="preserve"> head sold (death loss in cost)</t>
  </si>
  <si>
    <t xml:space="preserve"> ITEM</t>
  </si>
  <si>
    <t xml:space="preserve"> VARIABLE </t>
  </si>
  <si>
    <t>$</t>
  </si>
  <si>
    <t>$/CWT</t>
  </si>
  <si>
    <t>%</t>
  </si>
  <si>
    <t>($)</t>
  </si>
  <si>
    <t>(cwt./hd.)</t>
  </si>
  <si>
    <t>(Variable Cost Budget)</t>
  </si>
  <si>
    <t>*</t>
  </si>
  <si>
    <t>*CALF</t>
  </si>
  <si>
    <t>:</t>
  </si>
  <si>
    <t>=</t>
  </si>
  <si>
    <t>ALTERNATIVE</t>
  </si>
  <si>
    <t>AMOUNT</t>
  </si>
  <si>
    <t>BASE BUDGETED</t>
  </si>
  <si>
    <t>BEST</t>
  </si>
  <si>
    <t>BEST COST</t>
  </si>
  <si>
    <t>BREAKEVEN TABLE</t>
  </si>
  <si>
    <t>Calculation of NR and for Z values</t>
  </si>
  <si>
    <t>Calculations</t>
  </si>
  <si>
    <t>CALF</t>
  </si>
  <si>
    <t>CALF INTEREST</t>
  </si>
  <si>
    <t>CFIN     CUSTOM CATTTLE FINISHING</t>
  </si>
  <si>
    <t>Chances</t>
  </si>
  <si>
    <t>COST</t>
  </si>
  <si>
    <t>COST CALCULATIONS</t>
  </si>
  <si>
    <t>COST SUMMARY:</t>
  </si>
  <si>
    <t>CWT.</t>
  </si>
  <si>
    <t>DAILY GAIN (LBS./DAY)</t>
  </si>
  <si>
    <t>DAYS</t>
  </si>
  <si>
    <t>DAYS ON FEED</t>
  </si>
  <si>
    <t>DEATH LOSS</t>
  </si>
  <si>
    <t>DEATH LOSS (%)</t>
  </si>
  <si>
    <t>DIRECT FIXED COST</t>
  </si>
  <si>
    <t>EXP. WEIGHT</t>
  </si>
  <si>
    <t>EXPECTED</t>
  </si>
  <si>
    <t>EXPECTED RETURN TABLE</t>
  </si>
  <si>
    <t>Ext. Ag. Econ. and Animal Science, Univ. of Ga.</t>
  </si>
  <si>
    <t>FEED</t>
  </si>
  <si>
    <t>FEED MARKUP</t>
  </si>
  <si>
    <t>FEED ONLY COST OF GAIN ($/CWT)</t>
  </si>
  <si>
    <t>FEEDING COST OF GAIN ($/CWT)</t>
  </si>
  <si>
    <t>FEEDING PERIOD (DAYS)</t>
  </si>
  <si>
    <t>GROSS FINISHED WEIGHT (CWT.)</t>
  </si>
  <si>
    <t>HD.</t>
  </si>
  <si>
    <t>HEAD</t>
  </si>
  <si>
    <t>INPUT DATA: Your values in the unprotected or highlighted cells</t>
  </si>
  <si>
    <t>INT ON FEED ETC</t>
  </si>
  <si>
    <t>INTEREST ON FEED ETC.</t>
  </si>
  <si>
    <t>MANAGEMENT</t>
  </si>
  <si>
    <t>MARKETING</t>
  </si>
  <si>
    <t>MARKETING SHRINK(%)</t>
  </si>
  <si>
    <t>MAX BREAKEVEN PURCHASE PRICE OF CALF ($/CWT)</t>
  </si>
  <si>
    <t>MAY ENTER YOUR OWN VALUES.</t>
  </si>
  <si>
    <t>MEDIAN</t>
  </si>
  <si>
    <t>MEDICATION &amp; MIN.</t>
  </si>
  <si>
    <t>MILES</t>
  </si>
  <si>
    <t>Net return levels (TOP ROW);</t>
  </si>
  <si>
    <t>NET SELLING WEIGHT (CWT.)</t>
  </si>
  <si>
    <t>NUMBER HEAD FINISHED</t>
  </si>
  <si>
    <t>NUMBER HEAD PLACED</t>
  </si>
  <si>
    <t>OPP. COST</t>
  </si>
  <si>
    <t>OPT.</t>
  </si>
  <si>
    <t>Optimistic</t>
  </si>
  <si>
    <t>ORDER BUYING</t>
  </si>
  <si>
    <t>OTHER</t>
  </si>
  <si>
    <t>OVERHEAD</t>
  </si>
  <si>
    <t>PAYWEIGHT TO PAYWEIGHT-</t>
  </si>
  <si>
    <t>PESS.</t>
  </si>
  <si>
    <t>PESS. COST</t>
  </si>
  <si>
    <t>PRICE</t>
  </si>
  <si>
    <t>PROCESSING CHARGE</t>
  </si>
  <si>
    <t>PROCUREMENT COST</t>
  </si>
  <si>
    <t>PROFIT IS RETURN TO RISK AND ALL "ZERO" ITEMS IN THE BUDGET.</t>
  </si>
  <si>
    <t>QUANTITY</t>
  </si>
  <si>
    <t>RISK RATED RETURNS OVER VARIABLE COST</t>
  </si>
  <si>
    <t>SELLING PRICE ($/CWT.)</t>
  </si>
  <si>
    <t>The chances of obtaining this level or less (BOTTOM ROW).</t>
  </si>
  <si>
    <t>The chances of obtaining this level or more (MIDDLE ROW); and</t>
  </si>
  <si>
    <t>TONS</t>
  </si>
  <si>
    <t>TOTAL</t>
  </si>
  <si>
    <t>TOTAL COST</t>
  </si>
  <si>
    <t>TOTAL COST OF GAIN ($/CWT)</t>
  </si>
  <si>
    <t>TOTAL PROCUREMENT COST</t>
  </si>
  <si>
    <t>TOTAL RETURN</t>
  </si>
  <si>
    <t>TOTAL VARIABLE COST</t>
  </si>
  <si>
    <t>TRANSPORTATION</t>
  </si>
  <si>
    <t>UNIT</t>
  </si>
  <si>
    <t>UNITS</t>
  </si>
  <si>
    <t>VARIABLE COST</t>
  </si>
  <si>
    <t>VARIABLE COSTS:</t>
  </si>
  <si>
    <t>VET.,MED. &amp; SUPPLIES</t>
  </si>
  <si>
    <t>WELCOME TO THE CUSTOM CATTLE</t>
  </si>
  <si>
    <t>WORST</t>
  </si>
  <si>
    <t>WORST COST</t>
  </si>
  <si>
    <t>YARDAGE</t>
  </si>
  <si>
    <t>ANNUAL FIXED PAYMENT</t>
  </si>
  <si>
    <t>Returns</t>
  </si>
  <si>
    <t>REMEMBER</t>
  </si>
  <si>
    <t>In order to Print a specific budget</t>
  </si>
  <si>
    <t>you must Calculate before you</t>
  </si>
  <si>
    <t>Print that particular budget.</t>
  </si>
  <si>
    <t>Note: Be sure to enable all</t>
  </si>
  <si>
    <t>macros on start-up.</t>
  </si>
  <si>
    <t>RISK RATED RETURNS OVER VARIABLE COSTS</t>
  </si>
  <si>
    <t>Placement Date</t>
  </si>
  <si>
    <t>Projected Out Date</t>
  </si>
  <si>
    <t>Expected Basis</t>
  </si>
  <si>
    <t>Expected Cash Price</t>
  </si>
  <si>
    <t>Original budgets developed by John C. McKissick and Robert Stewart</t>
  </si>
  <si>
    <t>Current Live Cattle Futures for Delivery Month</t>
  </si>
  <si>
    <t>PER HEAD</t>
  </si>
  <si>
    <t>FEED CONVERSION</t>
  </si>
  <si>
    <t xml:space="preserve">BASE BUDGETED NET REVENUE </t>
  </si>
  <si>
    <t>EXPECTED PROFIT (LOSS) PER HEAD</t>
  </si>
  <si>
    <t>Total Expected Production</t>
  </si>
  <si>
    <t>Number of Contracts</t>
  </si>
  <si>
    <t>Hedging</t>
  </si>
  <si>
    <t>Futures Price</t>
  </si>
  <si>
    <t>Commission per Contract</t>
  </si>
  <si>
    <t>Commission per Head</t>
  </si>
  <si>
    <t>Put</t>
  </si>
  <si>
    <t>Premium/Cwt</t>
  </si>
  <si>
    <t>Cost per Head</t>
  </si>
  <si>
    <t>Total Cost Per head</t>
  </si>
  <si>
    <t>Synthetic Put</t>
  </si>
  <si>
    <t>Put Strike Price</t>
  </si>
  <si>
    <t>Call Strike Price</t>
  </si>
  <si>
    <t>Difference betweeen futures and Call</t>
  </si>
  <si>
    <t>Fence</t>
  </si>
  <si>
    <t>Return to Main Budget</t>
  </si>
  <si>
    <t>Procurement Cost Detail</t>
  </si>
  <si>
    <t>COMMISSIONS, PREMIUMS, ETC</t>
  </si>
  <si>
    <t>Procurement Detail</t>
  </si>
  <si>
    <t>Feed cost</t>
  </si>
  <si>
    <t>tons of feed</t>
  </si>
  <si>
    <t>total wt gain /hd</t>
  </si>
  <si>
    <t>Total Production</t>
  </si>
  <si>
    <t>CWT</t>
  </si>
  <si>
    <t>Cost of Feed - $/Ton</t>
  </si>
  <si>
    <t>Feed Conversion</t>
  </si>
  <si>
    <t>Average Daily Gain</t>
  </si>
  <si>
    <t>Yardage</t>
  </si>
  <si>
    <t>days on feed</t>
  </si>
  <si>
    <t>Yardage cost</t>
  </si>
  <si>
    <t>Interest cost</t>
  </si>
  <si>
    <t>total Cost</t>
  </si>
  <si>
    <t>Yard +int</t>
  </si>
  <si>
    <t>Breakeven</t>
  </si>
  <si>
    <t>550 Pound Steer Placed Fall 2009</t>
  </si>
  <si>
    <t>Revised by Levi A. Russell</t>
  </si>
  <si>
    <t>Revised October 2016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</si>
</sst>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m/dd/yy"/>
    <numFmt numFmtId="167" formatCode="mmmm\-yy"/>
    <numFmt numFmtId="168" formatCode="0.000"/>
    <numFmt numFmtId="169" formatCode="0.0"/>
    <numFmt numFmtId="170" formatCode="0.0%"/>
    <numFmt numFmtId="171" formatCode="&quot;$&quot;#,##0.0"/>
    <numFmt numFmtId="172" formatCode="&quot;$&quot;#,##0.0_);\(&quot;$&quot;#,##0.0\)"/>
    <numFmt numFmtId="173" formatCode="_(&quot;$&quot;* #,##0_);_(&quot;$&quot;* \(#,##0\);_(&quot;$&quot;* &quot;-&quot;??_);_(@_)"/>
    <numFmt numFmtId="174" formatCode="#,##0.0"/>
  </numFmts>
  <fonts count="4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Helv"/>
      <family val="0"/>
    </font>
    <font>
      <i/>
      <sz val="10"/>
      <name val="Arial"/>
      <family val="0"/>
    </font>
    <font>
      <b/>
      <u val="single"/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2"/>
      <color indexed="10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0"/>
    </font>
    <font>
      <u val="single"/>
      <sz val="10"/>
      <color indexed="12"/>
      <name val="Bookman Old Style"/>
      <family val="1"/>
    </font>
    <font>
      <b/>
      <sz val="10"/>
      <name val="Bookman Old Style"/>
      <family val="1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0" fontId="4" fillId="2" borderId="0">
      <alignment/>
      <protection/>
    </xf>
    <xf numFmtId="4" fontId="0" fillId="2" borderId="0">
      <alignment/>
      <protection/>
    </xf>
    <xf numFmtId="41" fontId="16" fillId="0" borderId="0" applyFont="0" applyFill="0" applyBorder="0" applyAlignment="0" applyProtection="0"/>
    <xf numFmtId="3" fontId="0" fillId="2" borderId="0">
      <alignment/>
      <protection/>
    </xf>
    <xf numFmtId="7" fontId="0" fillId="2" borderId="0">
      <alignment/>
      <protection/>
    </xf>
    <xf numFmtId="42" fontId="16" fillId="0" borderId="0" applyFont="0" applyFill="0" applyBorder="0" applyAlignment="0" applyProtection="0"/>
    <xf numFmtId="5" fontId="0" fillId="2" borderId="0">
      <alignment/>
      <protection/>
    </xf>
    <xf numFmtId="0" fontId="0" fillId="2" borderId="0">
      <alignment/>
      <protection/>
    </xf>
    <xf numFmtId="0" fontId="38" fillId="0" borderId="0" applyNumberFormat="0" applyFill="0" applyBorder="0" applyAlignment="0" applyProtection="0"/>
    <xf numFmtId="2" fontId="0" fillId="2" borderId="0">
      <alignment/>
      <protection/>
    </xf>
    <xf numFmtId="0" fontId="1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0" fillId="33" borderId="5" applyNumberFormat="0" applyFont="0" applyAlignment="0" applyProtection="0"/>
    <xf numFmtId="0" fontId="44" fillId="28" borderId="6" applyNumberFormat="0" applyAlignment="0" applyProtection="0"/>
    <xf numFmtId="10" fontId="0" fillId="2" borderId="0">
      <alignment/>
      <protection/>
    </xf>
    <xf numFmtId="0" fontId="45" fillId="0" borderId="0" applyNumberFormat="0" applyFill="0" applyBorder="0" applyAlignment="0" applyProtection="0"/>
    <xf numFmtId="0" fontId="0" fillId="2" borderId="7">
      <alignment/>
      <protection/>
    </xf>
    <xf numFmtId="0" fontId="46" fillId="0" borderId="0" applyNumberFormat="0" applyFill="0" applyBorder="0" applyAlignment="0" applyProtection="0"/>
  </cellStyleXfs>
  <cellXfs count="124">
    <xf numFmtId="2" fontId="0" fillId="2" borderId="0" xfId="0" applyNumberFormat="1" applyFill="1" applyAlignment="1">
      <alignment/>
    </xf>
    <xf numFmtId="9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2" fontId="0" fillId="34" borderId="8" xfId="0" applyNumberFormat="1" applyFill="1" applyBorder="1" applyAlignment="1">
      <alignment horizontal="centerContinuous"/>
    </xf>
    <xf numFmtId="2" fontId="3" fillId="34" borderId="9" xfId="0" applyNumberFormat="1" applyFont="1" applyFill="1" applyBorder="1" applyAlignment="1">
      <alignment horizontal="centerContinuous"/>
    </xf>
    <xf numFmtId="2" fontId="0" fillId="34" borderId="9" xfId="0" applyNumberFormat="1" applyFill="1" applyBorder="1" applyAlignment="1">
      <alignment/>
    </xf>
    <xf numFmtId="2" fontId="0" fillId="34" borderId="10" xfId="0" applyNumberFormat="1" applyFill="1" applyBorder="1" applyAlignment="1">
      <alignment horizontal="centerContinuous"/>
    </xf>
    <xf numFmtId="2" fontId="0" fillId="34" borderId="0" xfId="0" applyNumberFormat="1" applyFill="1" applyAlignment="1">
      <alignment/>
    </xf>
    <xf numFmtId="2" fontId="3" fillId="35" borderId="11" xfId="0" applyNumberFormat="1" applyFont="1" applyFill="1" applyBorder="1" applyAlignment="1">
      <alignment horizontal="center"/>
    </xf>
    <xf numFmtId="2" fontId="3" fillId="35" borderId="12" xfId="0" applyNumberFormat="1" applyFont="1" applyFill="1" applyBorder="1" applyAlignment="1">
      <alignment horizontal="center"/>
    </xf>
    <xf numFmtId="2" fontId="0" fillId="36" borderId="13" xfId="0" applyNumberFormat="1" applyFill="1" applyBorder="1" applyAlignment="1">
      <alignment/>
    </xf>
    <xf numFmtId="2" fontId="0" fillId="36" borderId="14" xfId="0" applyNumberFormat="1" applyFill="1" applyBorder="1" applyAlignment="1">
      <alignment/>
    </xf>
    <xf numFmtId="2" fontId="0" fillId="34" borderId="15" xfId="0" applyNumberFormat="1" applyFill="1" applyBorder="1" applyAlignment="1">
      <alignment horizontal="centerContinuous"/>
    </xf>
    <xf numFmtId="2" fontId="0" fillId="34" borderId="16" xfId="0" applyNumberFormat="1" applyFill="1" applyBorder="1" applyAlignment="1">
      <alignment horizontal="centerContinuous"/>
    </xf>
    <xf numFmtId="2" fontId="0" fillId="34" borderId="0" xfId="0" applyNumberFormat="1" applyFill="1" applyAlignment="1">
      <alignment horizontal="centerContinuous"/>
    </xf>
    <xf numFmtId="2" fontId="3" fillId="34" borderId="0" xfId="0" applyNumberFormat="1" applyFont="1" applyFill="1" applyAlignment="1">
      <alignment horizontal="centerContinuous"/>
    </xf>
    <xf numFmtId="2" fontId="3" fillId="37" borderId="0" xfId="0" applyNumberFormat="1" applyFont="1" applyFill="1" applyBorder="1" applyAlignment="1">
      <alignment horizontal="centerContinuous"/>
    </xf>
    <xf numFmtId="0" fontId="3" fillId="37" borderId="0" xfId="0" applyFont="1" applyFill="1" applyBorder="1" applyAlignment="1">
      <alignment horizontal="centerContinuous"/>
    </xf>
    <xf numFmtId="2" fontId="0" fillId="34" borderId="8" xfId="0" applyNumberFormat="1" applyFill="1" applyBorder="1" applyAlignment="1">
      <alignment/>
    </xf>
    <xf numFmtId="2" fontId="9" fillId="34" borderId="10" xfId="0" applyNumberFormat="1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4" borderId="16" xfId="0" applyNumberFormat="1" applyFill="1" applyBorder="1" applyAlignment="1">
      <alignment/>
    </xf>
    <xf numFmtId="2" fontId="9" fillId="34" borderId="9" xfId="0" applyNumberFormat="1" applyFont="1" applyFill="1" applyBorder="1" applyAlignment="1">
      <alignment/>
    </xf>
    <xf numFmtId="2" fontId="0" fillId="34" borderId="17" xfId="0" applyNumberFormat="1" applyFill="1" applyBorder="1" applyAlignment="1">
      <alignment/>
    </xf>
    <xf numFmtId="2" fontId="0" fillId="34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9" fillId="34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9" fillId="34" borderId="15" xfId="0" applyNumberFormat="1" applyFont="1" applyFill="1" applyBorder="1" applyAlignment="1">
      <alignment/>
    </xf>
    <xf numFmtId="0" fontId="0" fillId="38" borderId="9" xfId="0" applyFill="1" applyBorder="1" applyAlignment="1" applyProtection="1">
      <alignment/>
      <protection locked="0"/>
    </xf>
    <xf numFmtId="0" fontId="0" fillId="38" borderId="0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7" fillId="34" borderId="9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9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2" fontId="3" fillId="2" borderId="0" xfId="0" applyNumberFormat="1" applyFont="1" applyFill="1" applyBorder="1" applyAlignment="1">
      <alignment horizontal="centerContinuous"/>
    </xf>
    <xf numFmtId="2" fontId="3" fillId="2" borderId="0" xfId="0" applyNumberFormat="1" applyFont="1" applyFill="1" applyBorder="1" applyAlignment="1">
      <alignment/>
    </xf>
    <xf numFmtId="0" fontId="3" fillId="37" borderId="0" xfId="0" applyFont="1" applyFill="1" applyBorder="1" applyAlignment="1">
      <alignment horizontal="left"/>
    </xf>
    <xf numFmtId="2" fontId="0" fillId="37" borderId="0" xfId="0" applyNumberFormat="1" applyFill="1" applyBorder="1" applyAlignment="1">
      <alignment/>
    </xf>
    <xf numFmtId="2" fontId="8" fillId="2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 horizontal="centerContinuous"/>
    </xf>
    <xf numFmtId="9" fontId="0" fillId="2" borderId="0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166" fontId="0" fillId="2" borderId="0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 horizontal="right"/>
    </xf>
    <xf numFmtId="165" fontId="0" fillId="2" borderId="0" xfId="0" applyNumberFormat="1" applyFill="1" applyBorder="1" applyAlignment="1">
      <alignment/>
    </xf>
    <xf numFmtId="7" fontId="0" fillId="2" borderId="0" xfId="46" applyBorder="1">
      <alignment/>
      <protection/>
    </xf>
    <xf numFmtId="2" fontId="0" fillId="2" borderId="0" xfId="0" applyNumberFormat="1" applyFill="1" applyBorder="1" applyAlignment="1" quotePrefix="1">
      <alignment/>
    </xf>
    <xf numFmtId="1" fontId="0" fillId="2" borderId="0" xfId="0" applyNumberFormat="1" applyFill="1" applyBorder="1" applyAlignment="1">
      <alignment/>
    </xf>
    <xf numFmtId="10" fontId="0" fillId="2" borderId="0" xfId="64" applyBorder="1">
      <alignment/>
      <protection/>
    </xf>
    <xf numFmtId="165" fontId="0" fillId="2" borderId="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3" fontId="3" fillId="2" borderId="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 horizontal="centerContinuous"/>
    </xf>
    <xf numFmtId="2" fontId="6" fillId="2" borderId="0" xfId="0" applyNumberFormat="1" applyFont="1" applyFill="1" applyBorder="1" applyAlignment="1">
      <alignment/>
    </xf>
    <xf numFmtId="9" fontId="3" fillId="2" borderId="0" xfId="0" applyNumberFormat="1" applyFont="1" applyFill="1" applyBorder="1" applyAlignment="1">
      <alignment horizontal="centerContinuous"/>
    </xf>
    <xf numFmtId="2" fontId="5" fillId="2" borderId="0" xfId="0" applyNumberFormat="1" applyFont="1" applyFill="1" applyBorder="1" applyAlignment="1">
      <alignment/>
    </xf>
    <xf numFmtId="164" fontId="10" fillId="2" borderId="0" xfId="0" applyNumberFormat="1" applyFont="1" applyFill="1" applyBorder="1" applyAlignment="1">
      <alignment/>
    </xf>
    <xf numFmtId="2" fontId="3" fillId="2" borderId="20" xfId="0" applyNumberFormat="1" applyFont="1" applyFill="1" applyBorder="1" applyAlignment="1">
      <alignment/>
    </xf>
    <xf numFmtId="2" fontId="3" fillId="2" borderId="21" xfId="0" applyNumberFormat="1" applyFont="1" applyFill="1" applyBorder="1" applyAlignment="1">
      <alignment/>
    </xf>
    <xf numFmtId="164" fontId="3" fillId="2" borderId="21" xfId="0" applyNumberFormat="1" applyFont="1" applyFill="1" applyBorder="1" applyAlignment="1">
      <alignment/>
    </xf>
    <xf numFmtId="165" fontId="3" fillId="2" borderId="22" xfId="0" applyNumberFormat="1" applyFont="1" applyFill="1" applyBorder="1" applyAlignment="1">
      <alignment/>
    </xf>
    <xf numFmtId="2" fontId="3" fillId="2" borderId="20" xfId="0" applyNumberFormat="1" applyFont="1" applyFill="1" applyBorder="1" applyAlignment="1">
      <alignment/>
    </xf>
    <xf numFmtId="2" fontId="3" fillId="2" borderId="21" xfId="0" applyNumberFormat="1" applyFont="1" applyFill="1" applyBorder="1" applyAlignment="1">
      <alignment/>
    </xf>
    <xf numFmtId="164" fontId="3" fillId="2" borderId="22" xfId="0" applyNumberFormat="1" applyFont="1" applyFill="1" applyBorder="1" applyAlignment="1">
      <alignment/>
    </xf>
    <xf numFmtId="2" fontId="11" fillId="39" borderId="23" xfId="0" applyNumberFormat="1" applyFont="1" applyFill="1" applyBorder="1" applyAlignment="1">
      <alignment/>
    </xf>
    <xf numFmtId="2" fontId="11" fillId="39" borderId="24" xfId="0" applyNumberFormat="1" applyFont="1" applyFill="1" applyBorder="1" applyAlignment="1">
      <alignment/>
    </xf>
    <xf numFmtId="166" fontId="10" fillId="39" borderId="25" xfId="0" applyNumberFormat="1" applyFont="1" applyFill="1" applyBorder="1" applyAlignment="1">
      <alignment/>
    </xf>
    <xf numFmtId="2" fontId="11" fillId="39" borderId="0" xfId="0" applyNumberFormat="1" applyFont="1" applyFill="1" applyBorder="1" applyAlignment="1">
      <alignment/>
    </xf>
    <xf numFmtId="1" fontId="10" fillId="39" borderId="26" xfId="0" applyNumberFormat="1" applyFont="1" applyFill="1" applyBorder="1" applyAlignment="1">
      <alignment/>
    </xf>
    <xf numFmtId="10" fontId="10" fillId="39" borderId="26" xfId="64" applyFont="1" applyFill="1" applyBorder="1">
      <alignment/>
      <protection/>
    </xf>
    <xf numFmtId="1" fontId="11" fillId="39" borderId="26" xfId="0" applyNumberFormat="1" applyFont="1" applyFill="1" applyBorder="1" applyAlignment="1">
      <alignment/>
    </xf>
    <xf numFmtId="2" fontId="10" fillId="39" borderId="26" xfId="0" applyNumberFormat="1" applyFont="1" applyFill="1" applyBorder="1" applyAlignment="1">
      <alignment/>
    </xf>
    <xf numFmtId="2" fontId="11" fillId="39" borderId="26" xfId="0" applyNumberFormat="1" applyFont="1" applyFill="1" applyBorder="1" applyAlignment="1">
      <alignment/>
    </xf>
    <xf numFmtId="3" fontId="11" fillId="39" borderId="26" xfId="0" applyNumberFormat="1" applyFont="1" applyFill="1" applyBorder="1" applyAlignment="1">
      <alignment/>
    </xf>
    <xf numFmtId="166" fontId="10" fillId="39" borderId="26" xfId="0" applyNumberFormat="1" applyFont="1" applyFill="1" applyBorder="1" applyAlignment="1">
      <alignment/>
    </xf>
    <xf numFmtId="17" fontId="12" fillId="39" borderId="0" xfId="0" applyNumberFormat="1" applyFont="1" applyFill="1" applyBorder="1" applyAlignment="1">
      <alignment/>
    </xf>
    <xf numFmtId="7" fontId="10" fillId="39" borderId="26" xfId="46" applyFont="1" applyFill="1" applyBorder="1">
      <alignment/>
      <protection/>
    </xf>
    <xf numFmtId="2" fontId="11" fillId="39" borderId="27" xfId="0" applyNumberFormat="1" applyFont="1" applyFill="1" applyBorder="1" applyAlignment="1">
      <alignment/>
    </xf>
    <xf numFmtId="7" fontId="11" fillId="39" borderId="28" xfId="46" applyFont="1" applyFill="1" applyBorder="1">
      <alignment/>
      <protection/>
    </xf>
    <xf numFmtId="2" fontId="3" fillId="2" borderId="0" xfId="0" applyNumberFormat="1" applyFont="1" applyFill="1" applyBorder="1" applyAlignment="1">
      <alignment horizontal="center"/>
    </xf>
    <xf numFmtId="8" fontId="3" fillId="2" borderId="0" xfId="0" applyNumberFormat="1" applyFont="1" applyFill="1" applyBorder="1" applyAlignment="1">
      <alignment horizontal="centerContinuous"/>
    </xf>
    <xf numFmtId="8" fontId="3" fillId="2" borderId="0" xfId="0" applyNumberFormat="1" applyFont="1" applyFill="1" applyBorder="1" applyAlignment="1">
      <alignment/>
    </xf>
    <xf numFmtId="4" fontId="0" fillId="2" borderId="0" xfId="43">
      <alignment/>
      <protection/>
    </xf>
    <xf numFmtId="7" fontId="0" fillId="2" borderId="0" xfId="46">
      <alignment/>
      <protection/>
    </xf>
    <xf numFmtId="2" fontId="3" fillId="2" borderId="0" xfId="0" applyNumberFormat="1" applyFont="1" applyFill="1" applyAlignment="1">
      <alignment/>
    </xf>
    <xf numFmtId="2" fontId="0" fillId="2" borderId="0" xfId="0" applyNumberFormat="1" applyFill="1" applyAlignment="1">
      <alignment wrapText="1"/>
    </xf>
    <xf numFmtId="2" fontId="16" fillId="2" borderId="0" xfId="0" applyNumberFormat="1" applyFont="1" applyFill="1" applyBorder="1" applyAlignment="1">
      <alignment/>
    </xf>
    <xf numFmtId="2" fontId="18" fillId="2" borderId="0" xfId="0" applyNumberFormat="1" applyFont="1" applyFill="1" applyBorder="1" applyAlignment="1">
      <alignment horizontal="centerContinuous"/>
    </xf>
    <xf numFmtId="2" fontId="18" fillId="2" borderId="0" xfId="54" applyNumberFormat="1" applyFont="1" applyFill="1" applyBorder="1" applyAlignment="1">
      <alignment horizontal="center"/>
      <protection/>
    </xf>
    <xf numFmtId="164" fontId="16" fillId="2" borderId="0" xfId="0" applyNumberFormat="1" applyFont="1" applyFill="1" applyBorder="1" applyAlignment="1">
      <alignment/>
    </xf>
    <xf numFmtId="2" fontId="18" fillId="2" borderId="0" xfId="0" applyNumberFormat="1" applyFont="1" applyFill="1" applyBorder="1" applyAlignment="1">
      <alignment/>
    </xf>
    <xf numFmtId="164" fontId="18" fillId="2" borderId="0" xfId="0" applyNumberFormat="1" applyFont="1" applyFill="1" applyBorder="1" applyAlignment="1">
      <alignment/>
    </xf>
    <xf numFmtId="2" fontId="14" fillId="2" borderId="0" xfId="58" applyNumberFormat="1" applyFill="1" applyBorder="1" applyAlignment="1" applyProtection="1">
      <alignment/>
      <protection/>
    </xf>
    <xf numFmtId="2" fontId="0" fillId="2" borderId="0" xfId="0" applyNumberFormat="1" applyFill="1" applyBorder="1" applyAlignment="1">
      <alignment horizontal="center"/>
    </xf>
    <xf numFmtId="165" fontId="3" fillId="2" borderId="21" xfId="0" applyNumberFormat="1" applyFont="1" applyFill="1" applyBorder="1" applyAlignment="1">
      <alignment/>
    </xf>
    <xf numFmtId="7" fontId="3" fillId="2" borderId="21" xfId="46" applyFont="1" applyBorder="1">
      <alignment/>
      <protection/>
    </xf>
    <xf numFmtId="2" fontId="3" fillId="2" borderId="22" xfId="0" applyNumberFormat="1" applyFont="1" applyFill="1" applyBorder="1" applyAlignment="1">
      <alignment/>
    </xf>
    <xf numFmtId="2" fontId="3" fillId="2" borderId="0" xfId="0" applyNumberFormat="1" applyFont="1" applyFill="1" applyBorder="1" applyAlignment="1">
      <alignment horizontal="center"/>
    </xf>
    <xf numFmtId="3" fontId="0" fillId="2" borderId="0" xfId="43" applyNumberFormat="1">
      <alignment/>
      <protection/>
    </xf>
    <xf numFmtId="2" fontId="0" fillId="2" borderId="0" xfId="0" applyNumberFormat="1" applyFill="1" applyBorder="1" applyAlignment="1">
      <alignment/>
    </xf>
    <xf numFmtId="2" fontId="11" fillId="39" borderId="29" xfId="0" applyNumberFormat="1" applyFont="1" applyFill="1" applyBorder="1" applyAlignment="1">
      <alignment/>
    </xf>
    <xf numFmtId="2" fontId="11" fillId="39" borderId="30" xfId="0" applyNumberFormat="1" applyFont="1" applyFill="1" applyBorder="1" applyAlignment="1">
      <alignment/>
    </xf>
    <xf numFmtId="2" fontId="0" fillId="2" borderId="27" xfId="0" applyNumberForma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2" fontId="0" fillId="2" borderId="0" xfId="0" applyNumberFormat="1" applyFill="1" applyAlignment="1">
      <alignment/>
    </xf>
    <xf numFmtId="2" fontId="3" fillId="2" borderId="0" xfId="0" applyNumberFormat="1" applyFont="1" applyFill="1" applyBorder="1" applyAlignment="1">
      <alignment/>
    </xf>
    <xf numFmtId="2" fontId="3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17" fillId="2" borderId="0" xfId="58" applyNumberFormat="1" applyFont="1" applyFill="1" applyBorder="1" applyAlignment="1" applyProtection="1">
      <alignment horizontal="center"/>
      <protection/>
    </xf>
    <xf numFmtId="2" fontId="18" fillId="2" borderId="0" xfId="0" applyNumberFormat="1" applyFont="1" applyFill="1" applyBorder="1" applyAlignment="1">
      <alignment horizontal="center"/>
    </xf>
    <xf numFmtId="2" fontId="16" fillId="2" borderId="0" xfId="0" applyNumberFormat="1" applyFont="1" applyFill="1" applyBorder="1" applyAlignment="1">
      <alignment/>
    </xf>
    <xf numFmtId="2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Continuous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de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indexed="22"/>
        </patternFill>
      </fill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0</xdr:rowOff>
    </xdr:from>
    <xdr:to>
      <xdr:col>3</xdr:col>
      <xdr:colOff>762000</xdr:colOff>
      <xdr:row>6</xdr:row>
      <xdr:rowOff>161925</xdr:rowOff>
    </xdr:to>
    <xdr:sp macro="[0]!Rectangle12_Click">
      <xdr:nvSpPr>
        <xdr:cNvPr id="1" name="Rectangle 1"/>
        <xdr:cNvSpPr>
          <a:spLocks/>
        </xdr:cNvSpPr>
      </xdr:nvSpPr>
      <xdr:spPr>
        <a:xfrm>
          <a:off x="1704975" y="1076325"/>
          <a:ext cx="762000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3</xdr:col>
      <xdr:colOff>9525</xdr:colOff>
      <xdr:row>6</xdr:row>
      <xdr:rowOff>171450</xdr:rowOff>
    </xdr:from>
    <xdr:to>
      <xdr:col>3</xdr:col>
      <xdr:colOff>771525</xdr:colOff>
      <xdr:row>7</xdr:row>
      <xdr:rowOff>152400</xdr:rowOff>
    </xdr:to>
    <xdr:sp macro="[0]!printFinish">
      <xdr:nvSpPr>
        <xdr:cNvPr id="2" name="Rectangle 2"/>
        <xdr:cNvSpPr>
          <a:spLocks/>
        </xdr:cNvSpPr>
      </xdr:nvSpPr>
      <xdr:spPr>
        <a:xfrm>
          <a:off x="1704975" y="1247775"/>
          <a:ext cx="762000" cy="1714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10</xdr:row>
      <xdr:rowOff>47625</xdr:rowOff>
    </xdr:from>
    <xdr:to>
      <xdr:col>4</xdr:col>
      <xdr:colOff>152400</xdr:colOff>
      <xdr:row>11</xdr:row>
      <xdr:rowOff>57150</xdr:rowOff>
    </xdr:to>
    <xdr:sp macro="[0]!Rect4_Click">
      <xdr:nvSpPr>
        <xdr:cNvPr id="1" name="Rectangle 1"/>
        <xdr:cNvSpPr>
          <a:spLocks/>
        </xdr:cNvSpPr>
      </xdr:nvSpPr>
      <xdr:spPr>
        <a:xfrm>
          <a:off x="1571625" y="1666875"/>
          <a:ext cx="2057400" cy="1714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cy\My%20Documents\Budgets\stocker\Stockers-ltwtHeife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cy\My%20Documents\Budgets\Forages\Stockpiled%20Fescue%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cy\My%20Documents\Budgets\stocker\Stockers-sila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in"/>
      <sheetName val="Winter Grazing"/>
      <sheetName val="Feed Cost"/>
      <sheetName val="Procurement"/>
      <sheetName val="Fixed_Cost"/>
      <sheetName val="Fixed_Payment"/>
      <sheetName val="G"/>
      <sheetName val="H"/>
      <sheetName val="I"/>
      <sheetName val="J"/>
      <sheetName val="K"/>
      <sheetName val="L"/>
    </sheetNames>
    <sheetDataSet>
      <sheetData sheetId="0">
        <row r="4">
          <cell r="H4" t="str">
            <v>REMEMBER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in"/>
      <sheetName val="Fixed_Cost"/>
      <sheetName val="Fixed_Payment"/>
      <sheetName val="E"/>
      <sheetName val="F"/>
      <sheetName val="G"/>
      <sheetName val="H"/>
      <sheetName val="I"/>
      <sheetName val="J"/>
    </sheetNames>
    <sheetDataSet>
      <sheetData sheetId="2">
        <row r="44">
          <cell r="J44">
            <v>72.48639999999999</v>
          </cell>
        </row>
      </sheetData>
      <sheetData sheetId="3">
        <row r="45">
          <cell r="J45">
            <v>61.15140895524129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in"/>
      <sheetName val="Winter Grazing"/>
      <sheetName val="Feed Cost"/>
      <sheetName val="Procurement"/>
      <sheetName val="Fixed_Cost"/>
      <sheetName val="Fixed_Payment"/>
      <sheetName val="G"/>
      <sheetName val="H"/>
      <sheetName val="I"/>
      <sheetName val="J"/>
      <sheetName val="K"/>
      <sheetName val="L"/>
    </sheetNames>
    <sheetDataSet>
      <sheetData sheetId="0">
        <row r="4">
          <cell r="B4" t="str">
            <v>WELCOME TO THE  STOCKER STEERS ON</v>
          </cell>
          <cell r="H4" t="str">
            <v>REMEMBER</v>
          </cell>
        </row>
        <row r="5">
          <cell r="B5" t="str">
            <v>TEMPORARY WINTER GRAZING  BUDGET</v>
          </cell>
        </row>
      </sheetData>
      <sheetData sheetId="1">
        <row r="5">
          <cell r="B5" t="str">
            <v>University of Georgia Cooperative Extension Service</v>
          </cell>
        </row>
      </sheetData>
      <sheetData sheetId="2">
        <row r="4">
          <cell r="B4" t="str">
            <v>Revised 2003</v>
          </cell>
        </row>
        <row r="5">
          <cell r="K5" t="str">
            <v/>
          </cell>
        </row>
      </sheetData>
      <sheetData sheetId="3">
        <row r="4">
          <cell r="A4" t="str">
            <v>Days fed</v>
          </cell>
          <cell r="B4">
            <v>30</v>
          </cell>
        </row>
        <row r="5">
          <cell r="B5" t="str">
            <v>$/ton</v>
          </cell>
          <cell r="C5" t="str">
            <v>$/#</v>
          </cell>
          <cell r="D5" t="str">
            <v>% of Ration</v>
          </cell>
          <cell r="E5" t="str">
            <v>#/ton</v>
          </cell>
          <cell r="F5" t="str">
            <v>Cost/ton</v>
          </cell>
        </row>
      </sheetData>
      <sheetData sheetId="4">
        <row r="5">
          <cell r="B5" t="str">
            <v>     ITEM</v>
          </cell>
          <cell r="E5" t="str">
            <v>UNIT</v>
          </cell>
          <cell r="F5" t="str">
            <v>QUANTITY</v>
          </cell>
          <cell r="G5" t="str">
            <v>PRICE</v>
          </cell>
          <cell r="H5" t="str">
            <v>AMOUNT</v>
          </cell>
        </row>
      </sheetData>
      <sheetData sheetId="5">
        <row r="4">
          <cell r="B4" t="str">
            <v>(Check All Higlighted Entries this Page)</v>
          </cell>
        </row>
      </sheetData>
      <sheetData sheetId="6">
        <row r="4">
          <cell r="B4" t="str">
            <v>Check All Highlighted Entries this Page)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3:L12"/>
  <sheetViews>
    <sheetView showGridLines="0" showRowColHeaders="0" zoomScalePageLayoutView="0" workbookViewId="0" topLeftCell="A1">
      <selection activeCell="E22" sqref="E22"/>
    </sheetView>
  </sheetViews>
  <sheetFormatPr defaultColWidth="8.421875" defaultRowHeight="12.75"/>
  <cols>
    <col min="1" max="1" width="8.421875" style="0" customWidth="1"/>
    <col min="2" max="2" width="5.7109375" style="0" customWidth="1"/>
    <col min="3" max="3" width="11.28125" style="0" customWidth="1"/>
    <col min="4" max="4" width="11.7109375" style="0" customWidth="1"/>
    <col min="5" max="5" width="5.7109375" style="0" customWidth="1"/>
    <col min="6" max="6" width="1.57421875" style="0" customWidth="1"/>
  </cols>
  <sheetData>
    <row r="2" ht="13.5" thickBot="1"/>
    <row r="3" spans="2:12" ht="15">
      <c r="B3" s="4"/>
      <c r="C3" s="7"/>
      <c r="D3" s="7"/>
      <c r="E3" s="13"/>
      <c r="G3" s="19"/>
      <c r="H3" s="20" t="s">
        <v>163</v>
      </c>
      <c r="I3" s="27"/>
      <c r="J3" s="27"/>
      <c r="K3" s="30"/>
      <c r="L3" s="29"/>
    </row>
    <row r="4" spans="2:12" ht="12.75">
      <c r="B4" s="5" t="s">
        <v>157</v>
      </c>
      <c r="C4" s="15"/>
      <c r="D4" s="16"/>
      <c r="E4" s="14"/>
      <c r="G4" s="6"/>
      <c r="H4" s="21"/>
      <c r="I4" s="21"/>
      <c r="J4" s="21"/>
      <c r="K4" s="22"/>
      <c r="L4" s="29"/>
    </row>
    <row r="5" spans="2:12" ht="15">
      <c r="B5" s="5" t="s">
        <v>63</v>
      </c>
      <c r="C5" s="15"/>
      <c r="D5" s="15"/>
      <c r="E5" s="14"/>
      <c r="G5" s="23" t="s">
        <v>164</v>
      </c>
      <c r="H5" s="21"/>
      <c r="I5" s="21"/>
      <c r="J5" s="28"/>
      <c r="K5" s="22"/>
      <c r="L5" s="29"/>
    </row>
    <row r="6" spans="2:12" ht="15.75" thickBot="1">
      <c r="B6" s="6"/>
      <c r="C6" s="8"/>
      <c r="D6" s="8"/>
      <c r="E6" s="14"/>
      <c r="G6" s="23" t="s">
        <v>165</v>
      </c>
      <c r="H6" s="21"/>
      <c r="I6" s="21"/>
      <c r="J6" s="28"/>
      <c r="K6" s="22"/>
      <c r="L6" s="29"/>
    </row>
    <row r="7" spans="2:12" ht="15">
      <c r="B7" s="6"/>
      <c r="C7" s="9" t="s">
        <v>66</v>
      </c>
      <c r="D7" s="11"/>
      <c r="E7" s="14"/>
      <c r="G7" s="23" t="s">
        <v>166</v>
      </c>
      <c r="H7" s="21"/>
      <c r="I7" s="21"/>
      <c r="J7" s="28"/>
      <c r="K7" s="22"/>
      <c r="L7" s="29"/>
    </row>
    <row r="8" spans="2:12" ht="13.5" thickBot="1">
      <c r="B8" s="6"/>
      <c r="C8" s="10" t="s">
        <v>89</v>
      </c>
      <c r="D8" s="12"/>
      <c r="E8" s="14"/>
      <c r="G8" s="24"/>
      <c r="H8" s="25"/>
      <c r="I8" s="25"/>
      <c r="J8" s="25"/>
      <c r="K8" s="26"/>
      <c r="L8" s="29"/>
    </row>
    <row r="9" spans="2:5" ht="12.75">
      <c r="B9" s="31"/>
      <c r="C9" s="32"/>
      <c r="D9" s="32"/>
      <c r="E9" s="33"/>
    </row>
    <row r="10" spans="2:5" ht="12.75">
      <c r="B10" s="34"/>
      <c r="C10" s="35" t="s">
        <v>167</v>
      </c>
      <c r="D10" s="36"/>
      <c r="E10" s="33"/>
    </row>
    <row r="11" spans="2:5" ht="12.75">
      <c r="B11" s="37"/>
      <c r="C11" s="35" t="s">
        <v>168</v>
      </c>
      <c r="D11" s="36"/>
      <c r="E11" s="33"/>
    </row>
    <row r="12" spans="2:5" ht="13.5" thickBot="1">
      <c r="B12" s="38"/>
      <c r="C12" s="39"/>
      <c r="D12" s="39"/>
      <c r="E12" s="40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59" r:id="rId2"/>
  <headerFooter alignWithMargins="0">
    <oddHeader>&amp;L&amp;"Arial"&amp;10@&amp;C&amp;"Arial"&amp;10 Variable Cost Budget&amp;R&amp;"Arial"&amp;10 Page &amp;N+1</oddHeader>
    <oddFooter>&amp;C&amp;"Arial"&amp;10Extension Ag Econ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V261"/>
  <sheetViews>
    <sheetView tabSelected="1" zoomScalePageLayoutView="0" workbookViewId="0" topLeftCell="A1">
      <selection activeCell="K12" sqref="K12"/>
    </sheetView>
  </sheetViews>
  <sheetFormatPr defaultColWidth="8.421875" defaultRowHeight="12.75"/>
  <cols>
    <col min="1" max="1" width="18.421875" style="29" customWidth="1"/>
    <col min="2" max="2" width="5.00390625" style="29" customWidth="1"/>
    <col min="3" max="3" width="10.7109375" style="29" customWidth="1"/>
    <col min="4" max="4" width="18.00390625" style="29" customWidth="1"/>
    <col min="5" max="6" width="10.7109375" style="29" customWidth="1"/>
    <col min="7" max="7" width="13.28125" style="29" customWidth="1"/>
    <col min="8" max="8" width="10.7109375" style="29" customWidth="1"/>
    <col min="9" max="9" width="11.28125" style="29" customWidth="1"/>
    <col min="10" max="10" width="10.7109375" style="29" customWidth="1"/>
    <col min="11" max="11" width="9.140625" style="29" customWidth="1"/>
    <col min="12" max="12" width="8.421875" style="29" customWidth="1"/>
    <col min="13" max="13" width="11.00390625" style="29" customWidth="1"/>
    <col min="14" max="23" width="8.421875" style="29" customWidth="1"/>
    <col min="24" max="24" width="9.57421875" style="29" customWidth="1"/>
    <col min="25" max="16384" width="8.421875" style="29" customWidth="1"/>
  </cols>
  <sheetData>
    <row r="1" spans="1:26" ht="12.75">
      <c r="A1" s="41"/>
      <c r="B1" s="41" t="s">
        <v>87</v>
      </c>
      <c r="C1" s="41"/>
      <c r="D1" s="41"/>
      <c r="E1" s="41"/>
      <c r="F1" s="41"/>
      <c r="G1" s="41"/>
      <c r="H1" s="41"/>
      <c r="I1" s="41"/>
      <c r="L1" s="29">
        <v>3</v>
      </c>
      <c r="X1" s="29">
        <v>3</v>
      </c>
      <c r="Y1" s="29">
        <v>2</v>
      </c>
      <c r="Z1" s="29">
        <v>1</v>
      </c>
    </row>
    <row r="2" spans="1:9" ht="12.75">
      <c r="A2" s="41"/>
      <c r="B2" s="122" t="s">
        <v>215</v>
      </c>
      <c r="C2" s="117"/>
      <c r="D2" s="117"/>
      <c r="E2" s="117"/>
      <c r="F2" s="117"/>
      <c r="G2" s="117"/>
      <c r="H2" s="117"/>
      <c r="I2" s="117"/>
    </row>
    <row r="3" spans="1:34" ht="12.75">
      <c r="A3" s="41"/>
      <c r="B3" s="41" t="s">
        <v>174</v>
      </c>
      <c r="C3" s="41"/>
      <c r="D3" s="41"/>
      <c r="E3" s="41"/>
      <c r="F3" s="41"/>
      <c r="G3" s="41"/>
      <c r="H3" s="41"/>
      <c r="I3" s="41"/>
      <c r="S3" s="29" t="s">
        <v>6</v>
      </c>
      <c r="T3" s="29" t="s">
        <v>2</v>
      </c>
      <c r="U3" s="29" t="s">
        <v>2</v>
      </c>
      <c r="AB3" s="29" t="s">
        <v>6</v>
      </c>
      <c r="AC3" s="29" t="s">
        <v>2</v>
      </c>
      <c r="AH3" s="29" t="s">
        <v>4</v>
      </c>
    </row>
    <row r="4" spans="1:26" ht="12.75">
      <c r="A4" s="41"/>
      <c r="B4" s="41" t="s">
        <v>102</v>
      </c>
      <c r="C4" s="41"/>
      <c r="D4" s="41"/>
      <c r="E4" s="41"/>
      <c r="F4" s="41"/>
      <c r="G4" s="41"/>
      <c r="H4" s="41"/>
      <c r="I4" s="41"/>
      <c r="Z4" s="42"/>
    </row>
    <row r="5" spans="1:26" ht="12.75">
      <c r="A5" s="41"/>
      <c r="B5" s="123" t="s">
        <v>216</v>
      </c>
      <c r="C5" s="41"/>
      <c r="D5" s="41"/>
      <c r="E5" s="41"/>
      <c r="F5" s="41"/>
      <c r="G5" s="41"/>
      <c r="H5" s="41"/>
      <c r="I5" s="41"/>
      <c r="Z5" s="42"/>
    </row>
    <row r="6" spans="1:26" ht="12.75">
      <c r="A6" s="41"/>
      <c r="B6" s="41"/>
      <c r="C6" s="41"/>
      <c r="D6" s="41"/>
      <c r="E6" s="41"/>
      <c r="F6" s="41"/>
      <c r="G6" s="41"/>
      <c r="H6" s="41"/>
      <c r="I6" s="41"/>
      <c r="K6" s="29" t="s">
        <v>0</v>
      </c>
      <c r="Z6" s="42" t="s">
        <v>72</v>
      </c>
    </row>
    <row r="7" spans="2:9" ht="12.75">
      <c r="B7" s="41"/>
      <c r="C7" s="17"/>
      <c r="D7" s="18"/>
      <c r="E7" s="18"/>
      <c r="F7" s="18"/>
      <c r="G7" s="18"/>
      <c r="H7" s="18"/>
      <c r="I7" s="17"/>
    </row>
    <row r="8" spans="3:26" ht="12.75">
      <c r="C8" s="43" t="s">
        <v>111</v>
      </c>
      <c r="D8" s="44"/>
      <c r="E8" s="17"/>
      <c r="F8" s="17"/>
      <c r="G8" s="17"/>
      <c r="H8" s="18"/>
      <c r="I8" s="17"/>
      <c r="Z8" s="29" t="s">
        <v>98</v>
      </c>
    </row>
    <row r="9" spans="2:26" ht="12.75">
      <c r="B9" s="41"/>
      <c r="C9" s="18"/>
      <c r="D9" s="18"/>
      <c r="E9" s="18"/>
      <c r="F9" s="18"/>
      <c r="G9" s="18"/>
      <c r="H9" s="18"/>
      <c r="I9" s="17"/>
      <c r="Z9" s="29" t="s">
        <v>161</v>
      </c>
    </row>
    <row r="10" ht="12.75">
      <c r="Z10" s="29" t="s">
        <v>98</v>
      </c>
    </row>
    <row r="11" ht="12.75">
      <c r="K11" s="29" t="s">
        <v>0</v>
      </c>
    </row>
    <row r="12" ht="12.75">
      <c r="Z12" s="45"/>
    </row>
    <row r="13" spans="2:26" ht="12.75">
      <c r="B13" s="117"/>
      <c r="C13" s="110"/>
      <c r="D13" s="110"/>
      <c r="E13" s="110"/>
      <c r="F13" s="110"/>
      <c r="G13" s="110"/>
      <c r="H13" s="110"/>
      <c r="I13" s="110"/>
      <c r="J13" s="41"/>
      <c r="Z13" s="45"/>
    </row>
    <row r="14" spans="2:26" ht="12.75">
      <c r="B14" s="41"/>
      <c r="C14" s="117" t="s">
        <v>72</v>
      </c>
      <c r="D14" s="110"/>
      <c r="E14" s="110"/>
      <c r="F14" s="110"/>
      <c r="G14" s="110"/>
      <c r="H14" s="110"/>
      <c r="I14" s="110"/>
      <c r="J14" s="41"/>
      <c r="Z14" s="45"/>
    </row>
    <row r="15" spans="2:26" ht="12.75">
      <c r="B15" s="41"/>
      <c r="C15" s="117" t="s">
        <v>214</v>
      </c>
      <c r="D15" s="118"/>
      <c r="E15" s="118"/>
      <c r="F15" s="118"/>
      <c r="G15" s="118"/>
      <c r="H15" s="118"/>
      <c r="I15" s="118"/>
      <c r="J15" s="41"/>
      <c r="Z15" s="45"/>
    </row>
    <row r="16" spans="2:26" ht="13.5" thickBot="1">
      <c r="B16" s="41"/>
      <c r="C16" s="41"/>
      <c r="D16" s="41"/>
      <c r="E16" s="46"/>
      <c r="F16" s="42"/>
      <c r="G16" s="41"/>
      <c r="H16" s="41"/>
      <c r="I16" s="41"/>
      <c r="J16" s="41"/>
      <c r="Z16" s="45" t="s">
        <v>140</v>
      </c>
    </row>
    <row r="17" spans="3:11" ht="13.5" thickTop="1">
      <c r="C17" s="75" t="s">
        <v>170</v>
      </c>
      <c r="D17" s="76"/>
      <c r="E17" s="76"/>
      <c r="F17" s="76"/>
      <c r="G17" s="76"/>
      <c r="H17" s="76"/>
      <c r="I17" s="77">
        <v>42675</v>
      </c>
      <c r="K17" s="47" t="s">
        <v>0</v>
      </c>
    </row>
    <row r="18" spans="3:9" ht="12.75">
      <c r="C18" s="111" t="s">
        <v>125</v>
      </c>
      <c r="D18" s="110"/>
      <c r="E18" s="78"/>
      <c r="F18" s="78"/>
      <c r="G18" s="78"/>
      <c r="H18" s="78"/>
      <c r="I18" s="79">
        <v>65</v>
      </c>
    </row>
    <row r="19" spans="3:9" ht="12.75">
      <c r="C19" s="111" t="s">
        <v>97</v>
      </c>
      <c r="D19" s="110"/>
      <c r="E19" s="78"/>
      <c r="F19" s="78"/>
      <c r="G19" s="78"/>
      <c r="H19" s="78"/>
      <c r="I19" s="80">
        <v>0.01</v>
      </c>
    </row>
    <row r="20" spans="3:11" ht="12.75">
      <c r="C20" s="111" t="s">
        <v>124</v>
      </c>
      <c r="D20" s="110"/>
      <c r="E20" s="78"/>
      <c r="F20" s="78"/>
      <c r="G20" s="78"/>
      <c r="H20" s="78"/>
      <c r="I20" s="81">
        <f>+UNIT-(UNIT*I19)</f>
        <v>64.35</v>
      </c>
      <c r="K20" s="47" t="s">
        <v>0</v>
      </c>
    </row>
    <row r="21" spans="3:9" ht="12.75">
      <c r="C21" s="111" t="s">
        <v>177</v>
      </c>
      <c r="D21" s="110"/>
      <c r="E21" s="78"/>
      <c r="F21" s="78"/>
      <c r="G21" s="78"/>
      <c r="H21" s="78"/>
      <c r="I21" s="82">
        <v>7.15</v>
      </c>
    </row>
    <row r="22" spans="3:26" ht="12.75">
      <c r="C22" s="111" t="s">
        <v>116</v>
      </c>
      <c r="D22" s="110"/>
      <c r="E22" s="78"/>
      <c r="F22" s="78"/>
      <c r="G22" s="78"/>
      <c r="H22" s="78"/>
      <c r="I22" s="82">
        <v>0</v>
      </c>
      <c r="K22" s="47" t="s">
        <v>0</v>
      </c>
      <c r="S22" s="29" t="s">
        <v>5</v>
      </c>
      <c r="T22" s="29" t="s">
        <v>2</v>
      </c>
      <c r="Z22" s="29" t="s">
        <v>4</v>
      </c>
    </row>
    <row r="23" spans="3:9" ht="12.75">
      <c r="C23" s="111" t="s">
        <v>108</v>
      </c>
      <c r="D23" s="110"/>
      <c r="E23" s="110"/>
      <c r="F23" s="78"/>
      <c r="G23" s="78"/>
      <c r="H23" s="78"/>
      <c r="I23" s="82">
        <v>12</v>
      </c>
    </row>
    <row r="24" spans="3:11" ht="12.75">
      <c r="C24" s="111" t="s">
        <v>123</v>
      </c>
      <c r="D24" s="110"/>
      <c r="E24" s="78"/>
      <c r="F24" s="78"/>
      <c r="G24" s="78"/>
      <c r="H24" s="78"/>
      <c r="I24" s="83">
        <f>+I23*((100-I22)/100)</f>
        <v>12</v>
      </c>
      <c r="K24" s="47" t="s">
        <v>0</v>
      </c>
    </row>
    <row r="25" spans="3:9" ht="12.75">
      <c r="C25" s="111" t="s">
        <v>107</v>
      </c>
      <c r="D25" s="110"/>
      <c r="E25" s="78"/>
      <c r="F25" s="78"/>
      <c r="G25" s="78"/>
      <c r="H25" s="78"/>
      <c r="I25" s="84">
        <f>ROUND((I24-F39)/G32*100,0)</f>
        <v>217</v>
      </c>
    </row>
    <row r="26" spans="3:11" ht="12.75">
      <c r="C26" s="111" t="s">
        <v>171</v>
      </c>
      <c r="D26" s="110"/>
      <c r="E26" s="78"/>
      <c r="F26" s="78"/>
      <c r="G26" s="78"/>
      <c r="H26" s="78"/>
      <c r="I26" s="85">
        <f>+in_date+I25</f>
        <v>42892</v>
      </c>
      <c r="K26" s="47" t="s">
        <v>0</v>
      </c>
    </row>
    <row r="27" spans="3:11" ht="12.75">
      <c r="C27" s="111" t="s">
        <v>175</v>
      </c>
      <c r="D27" s="110"/>
      <c r="E27" s="110"/>
      <c r="F27" s="86"/>
      <c r="G27" s="78"/>
      <c r="H27" s="78"/>
      <c r="I27" s="87">
        <v>97</v>
      </c>
      <c r="K27" s="47"/>
    </row>
    <row r="28" spans="3:11" ht="12.75">
      <c r="C28" s="111" t="s">
        <v>172</v>
      </c>
      <c r="D28" s="110"/>
      <c r="E28" s="78"/>
      <c r="F28" s="78"/>
      <c r="G28" s="78"/>
      <c r="H28" s="78"/>
      <c r="I28" s="87">
        <v>0</v>
      </c>
      <c r="K28" s="47"/>
    </row>
    <row r="29" spans="3:11" ht="13.5" thickBot="1">
      <c r="C29" s="112" t="s">
        <v>173</v>
      </c>
      <c r="D29" s="113"/>
      <c r="E29" s="88"/>
      <c r="F29" s="88"/>
      <c r="G29" s="88"/>
      <c r="H29" s="88"/>
      <c r="I29" s="89">
        <f>+I27+I28</f>
        <v>97</v>
      </c>
      <c r="K29" s="47"/>
    </row>
    <row r="30" spans="9:11" ht="13.5" thickTop="1">
      <c r="I30" s="49"/>
      <c r="K30" s="47"/>
    </row>
    <row r="31" spans="2:11" ht="12.75">
      <c r="B31" s="29" t="s">
        <v>132</v>
      </c>
      <c r="E31" s="41" t="s">
        <v>80</v>
      </c>
      <c r="F31" s="41" t="s">
        <v>127</v>
      </c>
      <c r="G31" s="41" t="s">
        <v>119</v>
      </c>
      <c r="H31" s="41" t="s">
        <v>133</v>
      </c>
      <c r="I31" s="41" t="s">
        <v>158</v>
      </c>
      <c r="K31" s="47" t="s">
        <v>0</v>
      </c>
    </row>
    <row r="32" spans="2:11" ht="12.75">
      <c r="B32" s="29" t="s">
        <v>93</v>
      </c>
      <c r="E32" s="29">
        <f>+G32+0.4</f>
        <v>3.4</v>
      </c>
      <c r="F32" s="29">
        <f>+G32+0.2</f>
        <v>3.2</v>
      </c>
      <c r="G32" s="29">
        <v>3</v>
      </c>
      <c r="H32" s="29">
        <f>+G32-0.2</f>
        <v>2.8</v>
      </c>
      <c r="I32" s="29">
        <f>+H32-0.2</f>
        <v>2.5999999999999996</v>
      </c>
      <c r="K32" s="47" t="s">
        <v>0</v>
      </c>
    </row>
    <row r="33" spans="2:11" ht="12.75">
      <c r="B33" s="29" t="s">
        <v>141</v>
      </c>
      <c r="E33" s="50">
        <v>94</v>
      </c>
      <c r="F33" s="50">
        <f>+(E33+G33)/2</f>
        <v>95.5</v>
      </c>
      <c r="G33" s="67">
        <f>+Cash</f>
        <v>97</v>
      </c>
      <c r="H33" s="50">
        <f>+(G33+I33)/2</f>
        <v>95.5</v>
      </c>
      <c r="I33" s="50">
        <v>94</v>
      </c>
      <c r="K33" s="47" t="s">
        <v>0</v>
      </c>
    </row>
    <row r="34" ht="12.75">
      <c r="K34" s="47" t="s">
        <v>0</v>
      </c>
    </row>
    <row r="35" ht="12.75"/>
    <row r="36" spans="2:12" ht="12.75">
      <c r="B36" s="90"/>
      <c r="C36" s="90"/>
      <c r="D36" s="90"/>
      <c r="E36" s="90"/>
      <c r="F36" s="90" t="s">
        <v>153</v>
      </c>
      <c r="G36" s="90" t="s">
        <v>145</v>
      </c>
      <c r="H36" s="90" t="s">
        <v>152</v>
      </c>
      <c r="I36" s="90" t="s">
        <v>145</v>
      </c>
      <c r="L36" s="90"/>
    </row>
    <row r="37" spans="2:11" ht="12.75">
      <c r="B37" s="90" t="s">
        <v>10</v>
      </c>
      <c r="C37" s="90"/>
      <c r="D37" s="90"/>
      <c r="E37" s="90" t="s">
        <v>152</v>
      </c>
      <c r="F37" s="90" t="s">
        <v>176</v>
      </c>
      <c r="G37" s="90" t="s">
        <v>139</v>
      </c>
      <c r="H37" s="90" t="s">
        <v>135</v>
      </c>
      <c r="I37" s="90" t="s">
        <v>78</v>
      </c>
      <c r="K37" s="90"/>
    </row>
    <row r="38" spans="2:8" ht="12.75">
      <c r="B38" s="29" t="s">
        <v>155</v>
      </c>
      <c r="G38" s="52" t="s">
        <v>16</v>
      </c>
      <c r="H38" s="52" t="s">
        <v>62</v>
      </c>
    </row>
    <row r="39" spans="2:9" ht="12.75">
      <c r="B39" s="29" t="s">
        <v>85</v>
      </c>
      <c r="E39" s="29" t="s">
        <v>92</v>
      </c>
      <c r="F39" s="29">
        <v>5.5</v>
      </c>
      <c r="G39" s="29">
        <f>F39*num_placed</f>
        <v>357.5</v>
      </c>
      <c r="H39" s="50">
        <v>88</v>
      </c>
      <c r="I39" s="53">
        <f>G39*H39</f>
        <v>31460</v>
      </c>
    </row>
    <row r="40" spans="1:9" ht="12.75">
      <c r="A40" s="103" t="s">
        <v>198</v>
      </c>
      <c r="B40" s="29" t="s">
        <v>137</v>
      </c>
      <c r="E40" s="29" t="s">
        <v>110</v>
      </c>
      <c r="F40" s="29">
        <v>1</v>
      </c>
      <c r="G40" s="29">
        <f>F40*num_placed</f>
        <v>65</v>
      </c>
      <c r="H40" s="50">
        <f>+proc_cost</f>
        <v>0</v>
      </c>
      <c r="I40" s="53">
        <f>G40*H40</f>
        <v>0</v>
      </c>
    </row>
    <row r="41" spans="2:14" ht="12.75">
      <c r="B41" s="29" t="s">
        <v>151</v>
      </c>
      <c r="E41" s="29" t="s">
        <v>92</v>
      </c>
      <c r="F41" s="29">
        <f>+F39</f>
        <v>5.5</v>
      </c>
      <c r="G41" s="29">
        <f>+G39</f>
        <v>357.5</v>
      </c>
      <c r="H41" s="50">
        <v>7</v>
      </c>
      <c r="I41" s="53">
        <f>+H41*G41</f>
        <v>2502.5</v>
      </c>
      <c r="M41" s="54"/>
      <c r="N41" s="55"/>
    </row>
    <row r="42" spans="2:9" ht="12.75">
      <c r="B42" s="29" t="s">
        <v>136</v>
      </c>
      <c r="E42" s="29" t="s">
        <v>109</v>
      </c>
      <c r="F42" s="29">
        <v>1</v>
      </c>
      <c r="G42" s="29">
        <f>F42*num_placed</f>
        <v>65</v>
      </c>
      <c r="H42" s="50">
        <v>0</v>
      </c>
      <c r="I42" s="53">
        <f>+H42*G42</f>
        <v>0</v>
      </c>
    </row>
    <row r="43" spans="2:9" ht="12.75">
      <c r="B43" s="29" t="s">
        <v>86</v>
      </c>
      <c r="E43" s="29" t="s">
        <v>67</v>
      </c>
      <c r="F43" s="29">
        <f>+G43/I18</f>
        <v>522.5</v>
      </c>
      <c r="G43" s="48">
        <f>SUM(I39:I42)</f>
        <v>33962.5</v>
      </c>
      <c r="H43" s="50">
        <v>0.06</v>
      </c>
      <c r="I43" s="53">
        <f>G43*H43/365*I25</f>
        <v>1211.4842465753425</v>
      </c>
    </row>
    <row r="44" spans="2:9" ht="12.75">
      <c r="B44" s="110" t="s">
        <v>103</v>
      </c>
      <c r="C44" s="110"/>
      <c r="E44" s="29" t="s">
        <v>144</v>
      </c>
      <c r="F44" s="29">
        <f>(+I24-F39)*100*I21/2000</f>
        <v>2.32375</v>
      </c>
      <c r="G44" s="29">
        <f>+F44*num_finished</f>
        <v>149.5333125</v>
      </c>
      <c r="H44" s="50">
        <v>160</v>
      </c>
      <c r="I44" s="53">
        <f>+G44*H44</f>
        <v>23925.329999999998</v>
      </c>
    </row>
    <row r="45" spans="2:9" ht="12.75">
      <c r="B45" s="29" t="s">
        <v>104</v>
      </c>
      <c r="E45" s="29" t="s">
        <v>144</v>
      </c>
      <c r="F45" s="29">
        <f>(+I24-F39)*100*I21/2000</f>
        <v>2.32375</v>
      </c>
      <c r="G45" s="29">
        <f>+F45*num_finished</f>
        <v>149.5333125</v>
      </c>
      <c r="H45" s="50">
        <v>0</v>
      </c>
      <c r="I45" s="53">
        <f>G45*H45</f>
        <v>0</v>
      </c>
    </row>
    <row r="46" spans="2:9" ht="12.75">
      <c r="B46" s="29" t="s">
        <v>160</v>
      </c>
      <c r="E46" s="29" t="s">
        <v>94</v>
      </c>
      <c r="F46" s="56">
        <f>+dof</f>
        <v>217</v>
      </c>
      <c r="G46" s="109">
        <f>+F46*num_finished</f>
        <v>13963.949999999999</v>
      </c>
      <c r="H46" s="50">
        <v>0.31</v>
      </c>
      <c r="I46" s="53">
        <f>G46*H46</f>
        <v>4328.8245</v>
      </c>
    </row>
    <row r="47" spans="2:9" ht="12.75">
      <c r="B47" s="29" t="s">
        <v>156</v>
      </c>
      <c r="E47" s="29" t="s">
        <v>110</v>
      </c>
      <c r="F47" s="29">
        <v>1</v>
      </c>
      <c r="G47" s="56">
        <f>+F47*num_finished</f>
        <v>64.35</v>
      </c>
      <c r="H47" s="50">
        <v>15</v>
      </c>
      <c r="I47" s="53">
        <f>G47*H47</f>
        <v>965.2499999999999</v>
      </c>
    </row>
    <row r="48" spans="2:9" ht="12.75">
      <c r="B48" s="110" t="s">
        <v>197</v>
      </c>
      <c r="C48" s="110"/>
      <c r="D48" s="110"/>
      <c r="E48" s="29" t="s">
        <v>110</v>
      </c>
      <c r="F48" s="29">
        <v>1</v>
      </c>
      <c r="G48" s="56">
        <f>+F48*num_finished</f>
        <v>64.35</v>
      </c>
      <c r="H48" s="50">
        <v>0</v>
      </c>
      <c r="I48" s="53">
        <f>G48*H48</f>
        <v>0</v>
      </c>
    </row>
    <row r="49" spans="2:9" ht="12.75">
      <c r="B49" s="29" t="s">
        <v>96</v>
      </c>
      <c r="E49" s="29" t="s">
        <v>67</v>
      </c>
      <c r="F49" s="29">
        <f>+F43</f>
        <v>522.5</v>
      </c>
      <c r="G49" s="48">
        <f>+G43</f>
        <v>33962.5</v>
      </c>
      <c r="H49" s="57">
        <f>+death</f>
        <v>0.01</v>
      </c>
      <c r="I49" s="53">
        <f>G49*H49</f>
        <v>339.625</v>
      </c>
    </row>
    <row r="50" spans="2:9" ht="12.75">
      <c r="B50" s="29" t="s">
        <v>113</v>
      </c>
      <c r="E50" s="29" t="s">
        <v>67</v>
      </c>
      <c r="F50" s="29">
        <f>+G50/I18</f>
        <v>454.75429999999994</v>
      </c>
      <c r="G50" s="48">
        <f>SUM(I44:I49)</f>
        <v>29559.029499999997</v>
      </c>
      <c r="H50" s="50">
        <v>0.08</v>
      </c>
      <c r="I50" s="53">
        <f>G50*H50/365*I25/2</f>
        <v>702.9380166027396</v>
      </c>
    </row>
    <row r="51" spans="2:9" ht="13.5" thickBot="1">
      <c r="B51" s="29" t="s">
        <v>115</v>
      </c>
      <c r="E51" s="29" t="s">
        <v>110</v>
      </c>
      <c r="F51" s="29">
        <v>1</v>
      </c>
      <c r="G51" s="48">
        <f>F51*num_finished</f>
        <v>64.35</v>
      </c>
      <c r="H51" s="50">
        <v>6.6</v>
      </c>
      <c r="I51" s="58">
        <f>G51*H51</f>
        <v>424.7099999999999</v>
      </c>
    </row>
    <row r="52" spans="2:9" ht="13.5" thickBot="1">
      <c r="B52" s="68" t="s">
        <v>150</v>
      </c>
      <c r="C52" s="69"/>
      <c r="D52" s="69"/>
      <c r="E52" s="69"/>
      <c r="F52" s="69"/>
      <c r="G52" s="69"/>
      <c r="H52" s="70"/>
      <c r="I52" s="71">
        <f>SUM(I39:I51)</f>
        <v>65860.66176317808</v>
      </c>
    </row>
    <row r="53" spans="6:9" ht="12.75">
      <c r="F53" s="29" t="s">
        <v>0</v>
      </c>
      <c r="I53" s="29" t="s">
        <v>3</v>
      </c>
    </row>
    <row r="57" spans="2:8" ht="12.75">
      <c r="B57" s="29" t="s">
        <v>91</v>
      </c>
      <c r="H57" s="52" t="s">
        <v>68</v>
      </c>
    </row>
    <row r="58" spans="2:8" ht="12.75">
      <c r="B58" s="29" t="s">
        <v>105</v>
      </c>
      <c r="H58" s="50">
        <f>SUM(I44:I45)/(E81-G39)</f>
        <v>57.69310344827587</v>
      </c>
    </row>
    <row r="59" spans="2:10" ht="12.75">
      <c r="B59" s="29" t="s">
        <v>106</v>
      </c>
      <c r="H59" s="50">
        <f>(+I42+I44+I45+I46+I47+I48+I49+I50)/(E81-G39)</f>
        <v>72.97315533301843</v>
      </c>
      <c r="J59" s="29" t="s">
        <v>0</v>
      </c>
    </row>
    <row r="60" spans="2:10" ht="12.75">
      <c r="B60" s="29" t="s">
        <v>147</v>
      </c>
      <c r="H60" s="50">
        <f>(+I52-I39)/(E81-G39)</f>
        <v>82.95312699102504</v>
      </c>
      <c r="J60" s="29" t="s">
        <v>0</v>
      </c>
    </row>
    <row r="61" ht="13.5" thickBot="1">
      <c r="H61" s="50"/>
    </row>
    <row r="62" spans="2:8" ht="13.5" thickBot="1">
      <c r="B62" s="72" t="s">
        <v>117</v>
      </c>
      <c r="C62" s="73"/>
      <c r="D62" s="73"/>
      <c r="E62" s="73"/>
      <c r="F62" s="73"/>
      <c r="G62" s="73"/>
      <c r="H62" s="74">
        <f>(+I81-(+I52-I39))/G39</f>
        <v>111.15597269041093</v>
      </c>
    </row>
    <row r="64" spans="2:9" ht="12.75">
      <c r="B64" s="41" t="s">
        <v>82</v>
      </c>
      <c r="C64" s="41"/>
      <c r="D64" s="41"/>
      <c r="E64" s="41"/>
      <c r="F64" s="41"/>
      <c r="G64" s="41"/>
      <c r="H64" s="41"/>
      <c r="I64" s="41"/>
    </row>
    <row r="65" ht="12.75">
      <c r="H65" s="29" t="s">
        <v>0</v>
      </c>
    </row>
    <row r="67" spans="2:9" ht="12.75">
      <c r="B67" s="41"/>
      <c r="C67" s="41"/>
      <c r="D67" s="41" t="s">
        <v>79</v>
      </c>
      <c r="E67" s="41"/>
      <c r="F67" s="41"/>
      <c r="G67" s="41" t="s">
        <v>100</v>
      </c>
      <c r="H67" s="41" t="s">
        <v>9</v>
      </c>
      <c r="I67" s="41" t="s">
        <v>9</v>
      </c>
    </row>
    <row r="68" spans="2:9" ht="12.75">
      <c r="B68" s="41" t="s">
        <v>65</v>
      </c>
      <c r="C68" s="41"/>
      <c r="D68" s="41" t="s">
        <v>14</v>
      </c>
      <c r="E68" s="41"/>
      <c r="F68" s="41"/>
      <c r="G68" s="41" t="s">
        <v>50</v>
      </c>
      <c r="H68" s="41" t="s">
        <v>12</v>
      </c>
      <c r="I68" s="41" t="s">
        <v>13</v>
      </c>
    </row>
    <row r="69" spans="2:9" ht="12.75">
      <c r="B69" s="29" t="s">
        <v>154</v>
      </c>
      <c r="E69" s="53">
        <f>+I52</f>
        <v>65860.66176317808</v>
      </c>
      <c r="F69" s="50"/>
      <c r="G69" s="53">
        <f>+W157*I24*I18</f>
        <v>65945.64146931867</v>
      </c>
      <c r="H69" s="94">
        <f>+G69/total_production</f>
        <v>85.39969110245879</v>
      </c>
      <c r="I69" s="29">
        <f>+W157*I24</f>
        <v>1014.5483302972102</v>
      </c>
    </row>
    <row r="70" spans="2:9" ht="12.75">
      <c r="B70" s="29" t="s">
        <v>98</v>
      </c>
      <c r="E70" s="53">
        <f>I58</f>
        <v>0</v>
      </c>
      <c r="F70" s="53"/>
      <c r="G70" s="53">
        <f>I58</f>
        <v>0</v>
      </c>
      <c r="H70" s="94">
        <f>+G70/total_production</f>
        <v>0</v>
      </c>
      <c r="I70" s="29">
        <f>+G70/I18</f>
        <v>0</v>
      </c>
    </row>
    <row r="71" spans="2:9" ht="12.75">
      <c r="B71" s="29" t="s">
        <v>131</v>
      </c>
      <c r="E71" s="53">
        <f>I59</f>
        <v>0</v>
      </c>
      <c r="F71" s="53"/>
      <c r="G71" s="53">
        <f>I59</f>
        <v>0</v>
      </c>
      <c r="H71" s="94">
        <f>+G71/total_production</f>
        <v>0</v>
      </c>
      <c r="I71" s="29">
        <f>+G71/I18</f>
        <v>0</v>
      </c>
    </row>
    <row r="72" spans="2:9" ht="13.5" thickBot="1">
      <c r="B72" s="29" t="s">
        <v>114</v>
      </c>
      <c r="E72" s="58">
        <f>I60</f>
        <v>0</v>
      </c>
      <c r="F72" s="58"/>
      <c r="G72" s="58">
        <f>I60</f>
        <v>0</v>
      </c>
      <c r="H72" s="54">
        <f>+G72/total_production</f>
        <v>0</v>
      </c>
      <c r="I72" s="59">
        <f>+G72/I18</f>
        <v>0</v>
      </c>
    </row>
    <row r="73" spans="2:9" ht="13.5" thickBot="1">
      <c r="B73" s="72" t="s">
        <v>146</v>
      </c>
      <c r="C73" s="73"/>
      <c r="D73" s="73"/>
      <c r="E73" s="105">
        <f>SUM(E69:E72)</f>
        <v>65860.66176317808</v>
      </c>
      <c r="F73" s="105"/>
      <c r="G73" s="105">
        <f>SUM(G69:G72)</f>
        <v>65945.64146931867</v>
      </c>
      <c r="H73" s="106">
        <f>SUM(H69:H72)</f>
        <v>85.39969110245879</v>
      </c>
      <c r="I73" s="107">
        <f>SUM(I69:I72)</f>
        <v>1014.5483302972102</v>
      </c>
    </row>
    <row r="74" ht="12.75">
      <c r="K74" s="29" t="s">
        <v>0</v>
      </c>
    </row>
    <row r="76" spans="2:10" ht="12.75">
      <c r="B76" s="41" t="s">
        <v>101</v>
      </c>
      <c r="C76" s="41"/>
      <c r="D76" s="41"/>
      <c r="E76" s="41"/>
      <c r="F76" s="41"/>
      <c r="G76" s="41"/>
      <c r="H76" s="41"/>
      <c r="I76" s="41"/>
      <c r="J76" s="41"/>
    </row>
    <row r="77" spans="5:6" ht="12.75">
      <c r="E77" s="60">
        <f>+I18</f>
        <v>65</v>
      </c>
      <c r="F77" s="29" t="s">
        <v>64</v>
      </c>
    </row>
    <row r="78" spans="5:8" ht="12.75">
      <c r="E78" s="45"/>
      <c r="H78" s="29" t="s">
        <v>0</v>
      </c>
    </row>
    <row r="79" spans="3:10" ht="12.75">
      <c r="C79" s="51" t="s">
        <v>99</v>
      </c>
      <c r="D79" s="51"/>
      <c r="E79" s="108" t="s">
        <v>202</v>
      </c>
      <c r="F79" s="51"/>
      <c r="G79" s="61" t="s">
        <v>25</v>
      </c>
      <c r="H79" s="51"/>
      <c r="I79" s="62" t="s">
        <v>149</v>
      </c>
      <c r="J79" s="51"/>
    </row>
    <row r="80" spans="3:9" ht="12.75">
      <c r="C80" s="29" t="s">
        <v>71</v>
      </c>
      <c r="E80" s="108" t="s">
        <v>203</v>
      </c>
      <c r="G80" s="29" t="s">
        <v>15</v>
      </c>
      <c r="I80" s="29" t="s">
        <v>8</v>
      </c>
    </row>
    <row r="81" spans="3:9" ht="12.75">
      <c r="C81" s="29">
        <f>+I24</f>
        <v>12</v>
      </c>
      <c r="E81" s="104">
        <f>+C81*num_finished</f>
        <v>772.1999999999999</v>
      </c>
      <c r="G81" s="29">
        <f>+Y157</f>
        <v>96.01</v>
      </c>
      <c r="I81" s="48">
        <f>+G81*E81</f>
        <v>74138.92199999999</v>
      </c>
    </row>
    <row r="84" spans="5:11" ht="12.75">
      <c r="E84" s="45"/>
      <c r="K84" s="29" t="s">
        <v>0</v>
      </c>
    </row>
    <row r="85" spans="2:33" ht="12.75">
      <c r="B85" s="41"/>
      <c r="C85" s="41"/>
      <c r="D85" s="41"/>
      <c r="E85" s="45" t="s">
        <v>169</v>
      </c>
      <c r="F85" s="41"/>
      <c r="G85" s="41"/>
      <c r="H85" s="41"/>
      <c r="I85" s="41"/>
      <c r="J85" s="41"/>
      <c r="AG85" s="29">
        <v>1</v>
      </c>
    </row>
    <row r="86" ht="12.75">
      <c r="K86" s="29" t="s">
        <v>2</v>
      </c>
    </row>
    <row r="87" spans="2:10" ht="12.75">
      <c r="B87" s="63" t="s">
        <v>122</v>
      </c>
      <c r="C87" s="63"/>
      <c r="D87" s="63"/>
      <c r="E87" s="63"/>
      <c r="F87" s="63"/>
      <c r="G87" s="63"/>
      <c r="H87" s="63"/>
      <c r="I87" s="63"/>
      <c r="J87" s="63"/>
    </row>
    <row r="88" spans="2:10" ht="12.75">
      <c r="B88" s="63" t="s">
        <v>143</v>
      </c>
      <c r="C88" s="63"/>
      <c r="D88" s="63"/>
      <c r="E88" s="63"/>
      <c r="F88" s="63"/>
      <c r="G88" s="63"/>
      <c r="H88" s="63"/>
      <c r="I88" s="63"/>
      <c r="J88" s="63"/>
    </row>
    <row r="89" spans="2:10" ht="12.75">
      <c r="B89" s="63" t="s">
        <v>142</v>
      </c>
      <c r="C89" s="63"/>
      <c r="D89" s="63"/>
      <c r="E89" s="63"/>
      <c r="F89" s="63"/>
      <c r="G89" s="63"/>
      <c r="H89" s="63"/>
      <c r="I89" s="63"/>
      <c r="J89" s="63"/>
    </row>
    <row r="90" ht="12.75">
      <c r="K90" s="29" t="s">
        <v>0</v>
      </c>
    </row>
    <row r="92" spans="5:9" ht="12.75">
      <c r="E92" s="64" t="s">
        <v>128</v>
      </c>
      <c r="G92" s="64" t="s">
        <v>0</v>
      </c>
      <c r="I92" s="64" t="s">
        <v>38</v>
      </c>
    </row>
    <row r="93" spans="2:10" ht="12.75">
      <c r="B93" s="29" t="s">
        <v>162</v>
      </c>
      <c r="D93" s="48">
        <f>W189:W189+1.5*Y188:Y188</f>
        <v>11962.76134782185</v>
      </c>
      <c r="E93" s="48">
        <f>W189:W189+Y188:Y188</f>
        <v>10955.893742108348</v>
      </c>
      <c r="F93" s="48">
        <f>W189:W189+0.5*Y188:Y188</f>
        <v>9949.026136394845</v>
      </c>
      <c r="G93" s="48">
        <f>W189:W189</f>
        <v>8942.158530681343</v>
      </c>
      <c r="H93" s="48">
        <f>W189:W189-0.5*Y189:Y189</f>
        <v>7867.797351877862</v>
      </c>
      <c r="I93" s="48">
        <f>W189:W189-Y189:Y189</f>
        <v>6793.43617307438</v>
      </c>
      <c r="J93" s="48">
        <f>W189:W189-1.5*Y189:Y189</f>
        <v>5719.074994270898</v>
      </c>
    </row>
    <row r="94" spans="2:10" ht="12.75">
      <c r="B94" s="29" t="s">
        <v>88</v>
      </c>
      <c r="D94" s="47">
        <f>IF(S206&lt;1,IF(R206,W206,1-W206),IF(R206,W207,1-W207))</f>
        <v>1</v>
      </c>
      <c r="E94" s="47">
        <f>IF(AD192&lt;1,IF(AC192,AH192,1-AH192),IF(AC192,AH193,1-AH193))</f>
        <v>0.1586811810730786</v>
      </c>
      <c r="F94" s="47">
        <f>IF(AJ192&lt;1,IF(AI192,AN192,1-AN192),IF(AI192,AN193,1-AN193))</f>
        <v>0.3172888719492587</v>
      </c>
      <c r="G94" s="47">
        <f>IF(X194&lt;1,IF(W194,AB194,1-AB194),IF(W194,AB195,1-AB195))</f>
        <v>0.5085381854278151</v>
      </c>
      <c r="H94" s="47">
        <f>IF(AD194&lt;1,IF(AC194,AH194,1-AH194),IF(AC194,AH195,1-AH195))</f>
        <v>0.6997544064332584</v>
      </c>
      <c r="I94" s="47">
        <f>IF(AJ194&lt;1,IF(AI194,AN194,1-AN194),IF(AI194,AN195,1-AN195))</f>
        <v>0.8413689321860773</v>
      </c>
      <c r="J94" s="47">
        <f>IF(X196&lt;1,IF(W196,AB196,1-AB196),IF(W196,AB197,1-AB197))</f>
        <v>0.9301653874897061</v>
      </c>
    </row>
    <row r="95" spans="2:10" ht="12.75">
      <c r="B95" s="29" t="s">
        <v>88</v>
      </c>
      <c r="D95" s="47">
        <f>IF(X192&lt;1,IF(W192,1-AB192,AB192),IF(W192,1-AB193,AB193))</f>
        <v>0.9364099198936575</v>
      </c>
      <c r="E95" s="47">
        <f>IF(AD192&lt;1,IF(AC192,1-AH192,AH192),IF(AC192,1-AH193,AH193))</f>
        <v>0.8413188189269214</v>
      </c>
      <c r="F95" s="47">
        <f>IF(AJ192&lt;1,IF(AI192,1-AN192,AN192),IF(AI192,1-AN193,AN193))</f>
        <v>0.6827111280507413</v>
      </c>
      <c r="G95" s="47">
        <f>IF(X194&lt;1,IF(W194,1-AB194,AB194),IF(W194,1-AB195,AB195))</f>
        <v>0.49146181457218485</v>
      </c>
      <c r="H95" s="47">
        <f>IF(AD194&lt;1,IF(AC194,1-AH194,AH194),IF(AC194,1-AH195,AH195))</f>
        <v>0.30024559356674163</v>
      </c>
      <c r="I95" s="47">
        <f>IF(AJ194&lt;1,IF(AI194,1-AN194,AN194),IF(AI194,1-AN195,AN195))</f>
        <v>0.15863106781392264</v>
      </c>
      <c r="J95" s="47">
        <f>IF(X196&lt;1,IF(W196,1-AB196,AB196),IF(W196,1-AB197,AB197))</f>
        <v>0.06983461251029388</v>
      </c>
    </row>
    <row r="96" ht="12.75">
      <c r="K96" s="29" t="s">
        <v>2</v>
      </c>
    </row>
    <row r="97" spans="2:10" ht="12.75">
      <c r="B97" s="51" t="s">
        <v>19</v>
      </c>
      <c r="E97" s="65">
        <f>IF(AD196&lt;1,IF(AC196,AH196,1-AH196),IF(AC196,AH197,1-AH197))</f>
        <v>0.9937903070841806</v>
      </c>
      <c r="F97" s="114" t="s">
        <v>178</v>
      </c>
      <c r="G97" s="115"/>
      <c r="H97" s="115"/>
      <c r="I97" s="115"/>
      <c r="J97" s="91">
        <f>+I81-E73</f>
        <v>8278.260236821909</v>
      </c>
    </row>
    <row r="98" spans="6:10" ht="12.75">
      <c r="F98" s="116" t="s">
        <v>179</v>
      </c>
      <c r="G98" s="116"/>
      <c r="H98" s="116"/>
      <c r="I98" s="116"/>
      <c r="J98" s="92">
        <f>+J97/num_finished</f>
        <v>128.6442927245052</v>
      </c>
    </row>
    <row r="99" ht="12.75">
      <c r="K99" s="29" t="s">
        <v>2</v>
      </c>
    </row>
    <row r="100" ht="12.75">
      <c r="B100" s="66" t="s">
        <v>138</v>
      </c>
    </row>
    <row r="101" ht="12.75">
      <c r="B101" s="66" t="s">
        <v>118</v>
      </c>
    </row>
    <row r="126" ht="12.75">
      <c r="K126" s="29" t="s">
        <v>76</v>
      </c>
    </row>
    <row r="129" spans="29:38" ht="12.75">
      <c r="AC129" s="29" t="s">
        <v>77</v>
      </c>
      <c r="AF129" s="29" t="s">
        <v>126</v>
      </c>
      <c r="AH129" s="29" t="s">
        <v>134</v>
      </c>
      <c r="AJ129" s="29" t="s">
        <v>81</v>
      </c>
      <c r="AL129" s="29" t="s">
        <v>159</v>
      </c>
    </row>
    <row r="130" spans="29:38" ht="12.75">
      <c r="AC130" s="29" t="s">
        <v>90</v>
      </c>
      <c r="AF130" s="29" t="s">
        <v>95</v>
      </c>
      <c r="AH130" s="29" t="s">
        <v>95</v>
      </c>
      <c r="AJ130" s="29" t="s">
        <v>95</v>
      </c>
      <c r="AL130" s="29" t="s">
        <v>95</v>
      </c>
    </row>
    <row r="132" spans="32:38" ht="12.75">
      <c r="AF132" s="29">
        <f>(+I24-F39)/F32*100</f>
        <v>203.125</v>
      </c>
      <c r="AH132" s="29">
        <f>(+I24-F39)/H32*100</f>
        <v>232.14285714285717</v>
      </c>
      <c r="AJ132" s="29">
        <f>(+I24-F39)/E32*100</f>
        <v>191.1764705882353</v>
      </c>
      <c r="AL132" s="29">
        <f>(+I24-F39)/I32*100</f>
        <v>250.00000000000006</v>
      </c>
    </row>
    <row r="133" ht="12.75">
      <c r="K133" s="29" t="s">
        <v>0</v>
      </c>
    </row>
    <row r="134" spans="29:38" ht="12.75">
      <c r="AC134" s="29" t="s">
        <v>155</v>
      </c>
      <c r="AF134" s="29" t="s">
        <v>70</v>
      </c>
      <c r="AH134" s="29" t="s">
        <v>70</v>
      </c>
      <c r="AJ134" s="29" t="s">
        <v>70</v>
      </c>
      <c r="AL134" s="29" t="s">
        <v>70</v>
      </c>
    </row>
    <row r="135" spans="11:38" ht="12.75">
      <c r="K135" s="29" t="s">
        <v>0</v>
      </c>
      <c r="AC135" s="29" t="s">
        <v>74</v>
      </c>
      <c r="AF135" s="48">
        <f>I39</f>
        <v>31460</v>
      </c>
      <c r="AH135" s="48">
        <f>I39</f>
        <v>31460</v>
      </c>
      <c r="AJ135" s="48">
        <f>I39</f>
        <v>31460</v>
      </c>
      <c r="AL135" s="48">
        <f>I39</f>
        <v>31460</v>
      </c>
    </row>
    <row r="136" spans="29:38" ht="12.75">
      <c r="AC136" s="29" t="s">
        <v>137</v>
      </c>
      <c r="AF136" s="48">
        <f>I40</f>
        <v>0</v>
      </c>
      <c r="AH136" s="48">
        <f>I40</f>
        <v>0</v>
      </c>
      <c r="AJ136" s="48">
        <f>I40</f>
        <v>0</v>
      </c>
      <c r="AL136" s="48">
        <f>I40</f>
        <v>0</v>
      </c>
    </row>
    <row r="137" spans="29:38" ht="12.75">
      <c r="AC137" s="29" t="s">
        <v>151</v>
      </c>
      <c r="AF137" s="48">
        <f>I41</f>
        <v>2502.5</v>
      </c>
      <c r="AH137" s="48">
        <f>I41</f>
        <v>2502.5</v>
      </c>
      <c r="AJ137" s="48">
        <f>I41</f>
        <v>2502.5</v>
      </c>
      <c r="AL137" s="48">
        <f>I41</f>
        <v>2502.5</v>
      </c>
    </row>
    <row r="138" spans="29:38" ht="12.75">
      <c r="AC138" s="29" t="s">
        <v>136</v>
      </c>
      <c r="AF138" s="48">
        <f>I42</f>
        <v>0</v>
      </c>
      <c r="AH138" s="48">
        <f>I42</f>
        <v>0</v>
      </c>
      <c r="AJ138" s="48">
        <f>I42</f>
        <v>0</v>
      </c>
      <c r="AL138" s="48">
        <f>I42</f>
        <v>0</v>
      </c>
    </row>
    <row r="139" spans="29:38" ht="12.75">
      <c r="AC139" s="29" t="s">
        <v>86</v>
      </c>
      <c r="AF139" s="48">
        <f>I43</f>
        <v>1211.4842465753425</v>
      </c>
      <c r="AH139" s="48">
        <f>I43</f>
        <v>1211.4842465753425</v>
      </c>
      <c r="AJ139" s="48">
        <f>I43</f>
        <v>1211.4842465753425</v>
      </c>
      <c r="AL139" s="48">
        <f>I43</f>
        <v>1211.4842465753425</v>
      </c>
    </row>
    <row r="140" spans="29:38" ht="12.75">
      <c r="AC140" s="29" t="s">
        <v>103</v>
      </c>
      <c r="AF140" s="48">
        <f>I44/I25*AF132</f>
        <v>22395.542194700458</v>
      </c>
      <c r="AH140" s="48">
        <f>I44/I25*AH132</f>
        <v>25594.905365371957</v>
      </c>
      <c r="AJ140" s="48">
        <f>I44/I25*AJ132</f>
        <v>21078.15735971808</v>
      </c>
      <c r="AL140" s="48">
        <f>I44/I25*AL132</f>
        <v>27563.744239631338</v>
      </c>
    </row>
    <row r="141" spans="29:38" ht="12.75">
      <c r="AC141" s="29" t="s">
        <v>104</v>
      </c>
      <c r="AF141" s="48">
        <f>I45/I25*AF132</f>
        <v>0</v>
      </c>
      <c r="AH141" s="48">
        <f>I45/I25*AH132</f>
        <v>0</v>
      </c>
      <c r="AJ141" s="48">
        <f>I45/I25*AJ132</f>
        <v>0</v>
      </c>
      <c r="AL141" s="48">
        <f>I45/I25*AL132</f>
        <v>0</v>
      </c>
    </row>
    <row r="142" spans="22:38" ht="12.75">
      <c r="V142" s="29" t="s">
        <v>73</v>
      </c>
      <c r="W142" s="29" t="s">
        <v>73</v>
      </c>
      <c r="AA142" s="29" t="s">
        <v>73</v>
      </c>
      <c r="AC142" s="29" t="s">
        <v>160</v>
      </c>
      <c r="AF142" s="48">
        <f>I46/I25*AF132</f>
        <v>4052.0390625</v>
      </c>
      <c r="AH142" s="48">
        <f>I46/I25*AH132</f>
        <v>4630.901785714286</v>
      </c>
      <c r="AJ142" s="48">
        <f>I46/I25*AJ132</f>
        <v>3813.6838235294117</v>
      </c>
      <c r="AL142" s="48">
        <f>I46/I25*AL132</f>
        <v>4987.125000000001</v>
      </c>
    </row>
    <row r="143" spans="11:38" ht="12.75">
      <c r="K143" s="29" t="s">
        <v>0</v>
      </c>
      <c r="V143" s="29" t="s">
        <v>73</v>
      </c>
      <c r="W143" s="29" t="s">
        <v>11</v>
      </c>
      <c r="AA143" s="29" t="s">
        <v>73</v>
      </c>
      <c r="AC143" s="29" t="s">
        <v>120</v>
      </c>
      <c r="AF143" s="48">
        <f>I47</f>
        <v>965.2499999999999</v>
      </c>
      <c r="AH143" s="48">
        <f>I47</f>
        <v>965.2499999999999</v>
      </c>
      <c r="AJ143" s="48">
        <f>I47</f>
        <v>965.2499999999999</v>
      </c>
      <c r="AL143" s="48">
        <f>I47</f>
        <v>965.2499999999999</v>
      </c>
    </row>
    <row r="144" spans="22:38" ht="12.75">
      <c r="V144" s="29" t="s">
        <v>73</v>
      </c>
      <c r="W144" s="29" t="s">
        <v>1</v>
      </c>
      <c r="AA144" s="29" t="s">
        <v>73</v>
      </c>
      <c r="AC144" s="29" t="s">
        <v>130</v>
      </c>
      <c r="AF144" s="48">
        <f>I48</f>
        <v>0</v>
      </c>
      <c r="AH144" s="48">
        <f>I48</f>
        <v>0</v>
      </c>
      <c r="AJ144" s="48">
        <f>I48</f>
        <v>0</v>
      </c>
      <c r="AL144" s="48">
        <f>I48</f>
        <v>0</v>
      </c>
    </row>
    <row r="145" spans="22:38" ht="12.75">
      <c r="V145" s="29" t="s">
        <v>73</v>
      </c>
      <c r="W145" s="29">
        <f>+I18</f>
        <v>65</v>
      </c>
      <c r="X145" s="29" t="s">
        <v>110</v>
      </c>
      <c r="AA145" s="29" t="s">
        <v>73</v>
      </c>
      <c r="AC145" s="29" t="s">
        <v>96</v>
      </c>
      <c r="AF145" s="48">
        <f>I49</f>
        <v>339.625</v>
      </c>
      <c r="AH145" s="48">
        <f>I49</f>
        <v>339.625</v>
      </c>
      <c r="AJ145" s="48">
        <f>I49</f>
        <v>339.625</v>
      </c>
      <c r="AL145" s="48">
        <f>I49</f>
        <v>339.625</v>
      </c>
    </row>
    <row r="146" spans="22:38" ht="12.75">
      <c r="V146" s="29" t="s">
        <v>73</v>
      </c>
      <c r="W146" s="29">
        <f>AJ151/(I24*I18)</f>
        <v>79.9285305111413</v>
      </c>
      <c r="X146" s="29" t="s">
        <v>17</v>
      </c>
      <c r="Y146" s="29">
        <f>+E33</f>
        <v>94</v>
      </c>
      <c r="Z146" s="29" t="s">
        <v>18</v>
      </c>
      <c r="AA146" s="29" t="s">
        <v>73</v>
      </c>
      <c r="AC146" s="29" t="s">
        <v>112</v>
      </c>
      <c r="AF146" s="48">
        <f>SUM(AF140:AF145)*H50/365*AF132/2</f>
        <v>617.7772796979555</v>
      </c>
      <c r="AH146" s="48">
        <f>SUM(AH140:AH145)*H50/365*AH132/2</f>
        <v>802.1504265442685</v>
      </c>
      <c r="AJ146" s="48">
        <f>SUM(AJ140:AJ145)*H50/365*AJ132/2</f>
        <v>548.8433688673931</v>
      </c>
      <c r="AL146" s="48">
        <f>SUM(AL140:AL145)*H50/365*AL132/2</f>
        <v>927.5546367022285</v>
      </c>
    </row>
    <row r="147" spans="22:38" ht="12.75">
      <c r="V147" s="29" t="s">
        <v>73</v>
      </c>
      <c r="W147" s="29">
        <f>AF151/(I24*I18)</f>
        <v>82.0114458762484</v>
      </c>
      <c r="X147" s="29" t="s">
        <v>34</v>
      </c>
      <c r="Y147" s="29">
        <f>+F33</f>
        <v>95.5</v>
      </c>
      <c r="Z147" s="29" t="s">
        <v>35</v>
      </c>
      <c r="AA147" s="29" t="s">
        <v>73</v>
      </c>
      <c r="AC147" s="29" t="s">
        <v>115</v>
      </c>
      <c r="AF147" s="48">
        <f>I51</f>
        <v>424.7099999999999</v>
      </c>
      <c r="AH147" s="48">
        <f>I51</f>
        <v>424.7099999999999</v>
      </c>
      <c r="AJ147" s="48">
        <f>I51</f>
        <v>424.7099999999999</v>
      </c>
      <c r="AL147" s="48">
        <f>I51</f>
        <v>424.7099999999999</v>
      </c>
    </row>
    <row r="148" spans="22:27" ht="12.75">
      <c r="V148" s="29" t="s">
        <v>73</v>
      </c>
      <c r="W148" s="29">
        <f>I52/(I24*I18)</f>
        <v>84.4367458502283</v>
      </c>
      <c r="X148" s="29" t="s">
        <v>28</v>
      </c>
      <c r="Y148" s="29">
        <f>G33</f>
        <v>97</v>
      </c>
      <c r="Z148" s="29" t="s">
        <v>29</v>
      </c>
      <c r="AA148" s="29" t="s">
        <v>73</v>
      </c>
    </row>
    <row r="149" spans="22:27" ht="12.75">
      <c r="V149" s="29" t="s">
        <v>73</v>
      </c>
      <c r="W149" s="29">
        <f>AH151/(I24*I18)</f>
        <v>87.09170105667417</v>
      </c>
      <c r="X149" s="29" t="s">
        <v>36</v>
      </c>
      <c r="Y149" s="29">
        <f>H33</f>
        <v>95.5</v>
      </c>
      <c r="Z149" s="29" t="s">
        <v>37</v>
      </c>
      <c r="AA149" s="29" t="s">
        <v>73</v>
      </c>
    </row>
    <row r="150" spans="22:27" ht="12.75">
      <c r="V150" s="29" t="s">
        <v>73</v>
      </c>
      <c r="W150" s="29">
        <f>AL151/(I24*I18)</f>
        <v>90.23332451654989</v>
      </c>
      <c r="X150" s="29" t="s">
        <v>59</v>
      </c>
      <c r="Y150" s="29">
        <f>I33</f>
        <v>94</v>
      </c>
      <c r="Z150" s="29" t="s">
        <v>60</v>
      </c>
      <c r="AA150" s="29" t="s">
        <v>73</v>
      </c>
    </row>
    <row r="151" spans="22:38" ht="12.75">
      <c r="V151" s="29" t="s">
        <v>73</v>
      </c>
      <c r="W151" s="29">
        <v>0</v>
      </c>
      <c r="X151" s="29" t="s">
        <v>26</v>
      </c>
      <c r="AA151" s="29" t="s">
        <v>73</v>
      </c>
      <c r="AC151" s="29" t="s">
        <v>150</v>
      </c>
      <c r="AF151" s="48">
        <f>SUM(AF135:AF149)</f>
        <v>63968.92778347375</v>
      </c>
      <c r="AH151" s="48">
        <f>SUM(AH135:AH149)</f>
        <v>67931.52682420585</v>
      </c>
      <c r="AJ151" s="48">
        <f>SUM(AJ135:AJ149)</f>
        <v>62344.25379869022</v>
      </c>
      <c r="AL151" s="48">
        <f>SUM(AL135:AL149)</f>
        <v>70381.99312290891</v>
      </c>
    </row>
    <row r="152" spans="22:48" ht="12.75">
      <c r="V152" s="29" t="s">
        <v>73</v>
      </c>
      <c r="W152" s="29">
        <v>0</v>
      </c>
      <c r="X152" s="29" t="s">
        <v>49</v>
      </c>
      <c r="AA152" s="29" t="s">
        <v>73</v>
      </c>
      <c r="AV152" s="29">
        <v>1</v>
      </c>
    </row>
    <row r="153" spans="22:27" ht="12.75">
      <c r="V153" s="29" t="s">
        <v>73</v>
      </c>
      <c r="W153" s="29" t="s">
        <v>73</v>
      </c>
      <c r="AA153" s="29" t="s">
        <v>73</v>
      </c>
    </row>
    <row r="154" spans="22:27" ht="12.75">
      <c r="V154" s="29" t="s">
        <v>98</v>
      </c>
      <c r="W154" s="29" t="s">
        <v>1</v>
      </c>
      <c r="AA154" s="29" t="s">
        <v>75</v>
      </c>
    </row>
    <row r="155" spans="22:27" ht="12.75">
      <c r="V155" s="29" t="s">
        <v>75</v>
      </c>
      <c r="X155" s="29" t="s">
        <v>84</v>
      </c>
      <c r="AA155" s="29" t="s">
        <v>75</v>
      </c>
    </row>
    <row r="156" spans="16:27" ht="12.75">
      <c r="P156" s="29" t="s">
        <v>69</v>
      </c>
      <c r="V156" s="29" t="s">
        <v>75</v>
      </c>
      <c r="W156" s="29" t="s">
        <v>1</v>
      </c>
      <c r="AA156" s="29" t="s">
        <v>75</v>
      </c>
    </row>
    <row r="157" spans="22:27" ht="12.75">
      <c r="V157" s="29" t="s">
        <v>75</v>
      </c>
      <c r="W157" s="29">
        <f>0.04*W146+0.25*W147+0.42*W148+0.25*W149+0.04*W150</f>
        <v>84.54569419143418</v>
      </c>
      <c r="X157" s="29" t="s">
        <v>23</v>
      </c>
      <c r="Y157" s="29">
        <f>0.04*Y146+0.25*Y147+0.42*Y148+0.25*Y149+0.04*Y150</f>
        <v>96.01</v>
      </c>
      <c r="Z157" s="29" t="s">
        <v>24</v>
      </c>
      <c r="AA157" s="29" t="s">
        <v>75</v>
      </c>
    </row>
    <row r="158" spans="22:27" ht="12.75">
      <c r="V158" s="29" t="s">
        <v>75</v>
      </c>
      <c r="W158" s="29">
        <f>0.25*(W157-W146)+0.5*(W157-W147)</f>
        <v>2.421415077666108</v>
      </c>
      <c r="X158" s="29" t="s">
        <v>39</v>
      </c>
      <c r="Y158" s="29">
        <f>0.25*(Y146-Y157)+0.5*(Y147-Y157)</f>
        <v>-0.7575000000000038</v>
      </c>
      <c r="Z158" s="29" t="s">
        <v>41</v>
      </c>
      <c r="AA158" s="29" t="s">
        <v>75</v>
      </c>
    </row>
    <row r="159" spans="22:27" ht="12.75">
      <c r="V159" s="29" t="s">
        <v>75</v>
      </c>
      <c r="W159" s="29">
        <f>0.25*(W150-W157)+0.5*(W149-W157)</f>
        <v>2.6949110138989205</v>
      </c>
      <c r="X159" s="29" t="s">
        <v>40</v>
      </c>
      <c r="Y159" s="29">
        <f>0.25*(Y157-Y150)+0.5*(Y157-Y149)</f>
        <v>0.7575000000000038</v>
      </c>
      <c r="Z159" s="29" t="s">
        <v>42</v>
      </c>
      <c r="AA159" s="29" t="s">
        <v>75</v>
      </c>
    </row>
    <row r="160" spans="22:27" ht="12.75">
      <c r="V160" s="29" t="s">
        <v>75</v>
      </c>
      <c r="W160" s="29">
        <f>W158^2</f>
        <v>5.863250978348763</v>
      </c>
      <c r="X160" s="29" t="s">
        <v>51</v>
      </c>
      <c r="Y160" s="29">
        <f>Y158^2</f>
        <v>0.5738062500000058</v>
      </c>
      <c r="Z160" s="29" t="s">
        <v>57</v>
      </c>
      <c r="AA160" s="29" t="s">
        <v>75</v>
      </c>
    </row>
    <row r="163" spans="22:27" ht="12.75">
      <c r="V163" s="29" t="s">
        <v>75</v>
      </c>
      <c r="W163" s="29">
        <f>W159^2</f>
        <v>7.262545372833708</v>
      </c>
      <c r="X163" s="29" t="s">
        <v>52</v>
      </c>
      <c r="Y163" s="29">
        <f>Y159^2</f>
        <v>0.5738062500000058</v>
      </c>
      <c r="Z163" s="29" t="s">
        <v>58</v>
      </c>
      <c r="AA163" s="29" t="s">
        <v>75</v>
      </c>
    </row>
    <row r="164" spans="22:27" ht="12.75">
      <c r="V164" s="29" t="s">
        <v>75</v>
      </c>
      <c r="W164" s="29" t="s">
        <v>1</v>
      </c>
      <c r="AA164" s="29" t="s">
        <v>75</v>
      </c>
    </row>
    <row r="165" spans="22:27" ht="12.75">
      <c r="V165" s="29" t="s">
        <v>75</v>
      </c>
      <c r="W165" s="29">
        <f>I24^2*(Y158^2+W158^2)</f>
        <v>926.9362408822227</v>
      </c>
      <c r="X165" s="29" t="s">
        <v>53</v>
      </c>
      <c r="Y165" s="29">
        <f>I24^2*(Y159^2+W159^2)</f>
        <v>1128.4346336880549</v>
      </c>
      <c r="Z165" s="29" t="s">
        <v>56</v>
      </c>
      <c r="AA165" s="29" t="s">
        <v>75</v>
      </c>
    </row>
    <row r="166" spans="22:27" ht="12.75">
      <c r="V166" s="29" t="s">
        <v>75</v>
      </c>
      <c r="W166" s="29">
        <f>I24^2*(Y158^2+W159^2)</f>
        <v>1128.4346336880549</v>
      </c>
      <c r="X166" s="29" t="s">
        <v>54</v>
      </c>
      <c r="Y166" s="29">
        <f>I24^2*(Y159^2+W158^2)</f>
        <v>926.9362408822227</v>
      </c>
      <c r="Z166" s="29" t="s">
        <v>55</v>
      </c>
      <c r="AA166" s="29" t="s">
        <v>75</v>
      </c>
    </row>
    <row r="167" spans="22:27" ht="12.75">
      <c r="V167" s="29" t="s">
        <v>75</v>
      </c>
      <c r="W167" s="56">
        <f>SQRT(W165)</f>
        <v>30.445627615180193</v>
      </c>
      <c r="X167" s="56" t="s">
        <v>43</v>
      </c>
      <c r="Y167" s="56">
        <f>SQRT(Y165)</f>
        <v>33.59218113918855</v>
      </c>
      <c r="Z167" s="29" t="s">
        <v>46</v>
      </c>
      <c r="AA167" s="29" t="s">
        <v>75</v>
      </c>
    </row>
    <row r="168" spans="22:27" ht="12.75">
      <c r="V168" s="29" t="s">
        <v>75</v>
      </c>
      <c r="W168" s="56">
        <f>SQRT(W166)</f>
        <v>33.59218113918855</v>
      </c>
      <c r="X168" s="56" t="s">
        <v>44</v>
      </c>
      <c r="Y168" s="56">
        <f>SQRT(Y166)</f>
        <v>30.445627615180193</v>
      </c>
      <c r="Z168" s="29" t="s">
        <v>45</v>
      </c>
      <c r="AA168" s="29" t="s">
        <v>75</v>
      </c>
    </row>
    <row r="169" spans="22:27" ht="12.75">
      <c r="V169" s="29" t="s">
        <v>75</v>
      </c>
      <c r="W169" s="56">
        <f>0.66*W167+0.17*W168+0.17*Y168</f>
        <v>30.980541714261612</v>
      </c>
      <c r="X169" s="56" t="s">
        <v>47</v>
      </c>
      <c r="Y169" s="56">
        <f>0.66*Y167+0.17*W168+0.17*Y168</f>
        <v>33.05726704010713</v>
      </c>
      <c r="Z169" s="29" t="s">
        <v>48</v>
      </c>
      <c r="AA169" s="29" t="s">
        <v>75</v>
      </c>
    </row>
    <row r="170" spans="22:27" ht="12.75">
      <c r="V170" s="29" t="s">
        <v>75</v>
      </c>
      <c r="W170" s="29" t="s">
        <v>1</v>
      </c>
      <c r="AA170" s="29" t="s">
        <v>75</v>
      </c>
    </row>
    <row r="171" spans="22:27" ht="12.75">
      <c r="V171" s="29" t="s">
        <v>75</v>
      </c>
      <c r="W171" s="29" t="s">
        <v>83</v>
      </c>
      <c r="AA171" s="29" t="s">
        <v>75</v>
      </c>
    </row>
    <row r="182" spans="22:27" ht="12.75">
      <c r="V182" s="29" t="s">
        <v>75</v>
      </c>
      <c r="W182" s="29" t="s">
        <v>1</v>
      </c>
      <c r="AA182" s="29" t="s">
        <v>75</v>
      </c>
    </row>
    <row r="183" spans="22:27" ht="12.75">
      <c r="V183" s="29" t="s">
        <v>75</v>
      </c>
      <c r="W183" s="29">
        <f>Y148</f>
        <v>97</v>
      </c>
      <c r="X183" s="29" t="s">
        <v>31</v>
      </c>
      <c r="Y183" s="29">
        <f>+W189-W187</f>
        <v>-44.54575823938649</v>
      </c>
      <c r="Z183" s="29" t="s">
        <v>21</v>
      </c>
      <c r="AA183" s="29" t="s">
        <v>75</v>
      </c>
    </row>
    <row r="184" spans="22:27" ht="12.75">
      <c r="V184" s="29" t="s">
        <v>75</v>
      </c>
      <c r="W184" s="29">
        <f>W148</f>
        <v>84.4367458502283</v>
      </c>
      <c r="X184" s="29" t="s">
        <v>27</v>
      </c>
      <c r="Y184" s="56">
        <f>I18*W167</f>
        <v>1978.9657949867126</v>
      </c>
      <c r="Z184" s="29" t="s">
        <v>43</v>
      </c>
      <c r="AA184" s="29" t="s">
        <v>75</v>
      </c>
    </row>
    <row r="185" spans="22:27" ht="12.75">
      <c r="V185" s="29" t="s">
        <v>75</v>
      </c>
      <c r="W185" s="48">
        <f>I18*I24*W183</f>
        <v>75660</v>
      </c>
      <c r="X185" s="29" t="s">
        <v>33</v>
      </c>
      <c r="Y185" s="56">
        <f>I18*Y167</f>
        <v>2183.4917740472556</v>
      </c>
      <c r="Z185" s="29" t="s">
        <v>46</v>
      </c>
      <c r="AA185" s="29" t="s">
        <v>75</v>
      </c>
    </row>
    <row r="186" spans="22:27" ht="12.75">
      <c r="V186" s="29" t="s">
        <v>75</v>
      </c>
      <c r="W186" s="48">
        <f>+G73</f>
        <v>65945.64146931867</v>
      </c>
      <c r="X186" s="29" t="s">
        <v>32</v>
      </c>
      <c r="Y186" s="56">
        <f>I18*W168</f>
        <v>2183.4917740472556</v>
      </c>
      <c r="Z186" s="29" t="s">
        <v>44</v>
      </c>
      <c r="AA186" s="29" t="s">
        <v>75</v>
      </c>
    </row>
    <row r="187" spans="22:27" ht="12.75">
      <c r="V187" s="29" t="s">
        <v>75</v>
      </c>
      <c r="W187" s="48">
        <f>+W189+0.33*(Y189-Y188)</f>
        <v>8986.70428892073</v>
      </c>
      <c r="X187" s="29" t="s">
        <v>30</v>
      </c>
      <c r="Y187" s="56">
        <f>I18*Y168</f>
        <v>1978.9657949867126</v>
      </c>
      <c r="Z187" s="29" t="s">
        <v>45</v>
      </c>
      <c r="AA187" s="29" t="s">
        <v>75</v>
      </c>
    </row>
    <row r="188" spans="22:27" ht="12.75">
      <c r="V188" s="29" t="s">
        <v>75</v>
      </c>
      <c r="W188" s="48">
        <f>I18*Y157*I24</f>
        <v>74887.8</v>
      </c>
      <c r="X188" s="29" t="s">
        <v>22</v>
      </c>
      <c r="Y188" s="56">
        <f>W145*W169</f>
        <v>2013.7352114270047</v>
      </c>
      <c r="Z188" s="29" t="s">
        <v>47</v>
      </c>
      <c r="AA188" s="29" t="s">
        <v>75</v>
      </c>
    </row>
    <row r="189" spans="22:27" ht="12.75">
      <c r="V189" s="29" t="s">
        <v>75</v>
      </c>
      <c r="W189" s="48">
        <f>+(Y157-W157-H70-H71-H72)*I24*W145</f>
        <v>8942.158530681343</v>
      </c>
      <c r="X189" s="29" t="s">
        <v>20</v>
      </c>
      <c r="Y189" s="56">
        <f>W145*Y169</f>
        <v>2148.722357606963</v>
      </c>
      <c r="Z189" s="29" t="s">
        <v>48</v>
      </c>
      <c r="AA189" s="29" t="s">
        <v>75</v>
      </c>
    </row>
    <row r="190" spans="22:27" ht="12.75">
      <c r="V190" s="29" t="s">
        <v>75</v>
      </c>
      <c r="W190" s="29" t="s">
        <v>1</v>
      </c>
      <c r="AA190" s="29" t="s">
        <v>75</v>
      </c>
    </row>
    <row r="192" spans="23:40" ht="12.75">
      <c r="W192" s="29" t="b">
        <f>+D93&gt;=W187</f>
        <v>1</v>
      </c>
      <c r="X192" s="29">
        <f>ABS((D93-W189)/IF(W192,Y188,Y189))</f>
        <v>1.4999999999999998</v>
      </c>
      <c r="Y192" s="29">
        <f>MIN(2.5,ABS((D93-(W187+Y183*ABS(D93-W187)/ABS(IF(W192,Y188+Y183,Y189-Y183))*MIN(1,X192)))/(MIN(1.52,X192)/1.52*IF(W192,Y184,Y185)+(1.52-MIN(1.52,X192))/3.04*Y186+(1.52-MIN(1.52,X192))/3.04*Y187)))</f>
        <v>1.5368187042376231</v>
      </c>
      <c r="Z192" s="29">
        <f aca="true" t="shared" si="0" ref="Z192:Z197">1/(1+(0.2316419*Y192))</f>
        <v>0.737467692723065</v>
      </c>
      <c r="AA192" s="29">
        <f aca="true" t="shared" si="1" ref="AA192:AA197">0.398942281*((2.71828)^((-(Y192^2)/2)))</f>
        <v>0.12247558166521748</v>
      </c>
      <c r="AB192" s="29">
        <f aca="true" t="shared" si="2" ref="AB192:AB197">AA192*(0.31938153*Z192-0.356563782*Z192^2+1.781477937*Z192^3-1.821255978*Z192^4+1.330274429*Z192^5)</f>
        <v>0.062168922114762354</v>
      </c>
      <c r="AC192" s="29" t="b">
        <f>+E93&gt;=W187</f>
        <v>1</v>
      </c>
      <c r="AD192" s="29">
        <f>ABS((E93-W189)/IF(AC192,Y188,Y189))</f>
        <v>1.0000000000000002</v>
      </c>
      <c r="AE192" s="29">
        <f>MIN(2.5,ABS((E93-(W187+Y183*ABS(E93-W187)/ABS(IF(AC192,Y188+Y183,Y189-Y183))*MIN(1,AD192)))/(MIN(1.52,AD192)/1.52*IF(AC192,Y184,Y185)+(1.52-MIN(1.52,AD192))/3.04*Y186+(1.52-MIN(1.52,AD192))/3.04*Y187)))</f>
        <v>0.9998931003994053</v>
      </c>
      <c r="AF192" s="29">
        <f aca="true" t="shared" si="3" ref="AF192:AF197">1/(1+(0.2316419*AE192))</f>
        <v>0.8119406343843573</v>
      </c>
      <c r="AG192" s="29">
        <f aca="true" t="shared" si="4" ref="AG192:AG197">0.398942281*((2.71828)^((-(AE192^2)/2)))</f>
        <v>0.24199667282838577</v>
      </c>
      <c r="AH192" s="29">
        <f aca="true" t="shared" si="5" ref="AH192:AH197">AG192*(0.31938153*AF192-0.356563782*AF192^2+1.781477937*AF192^3-1.821255978*AF192^4+1.330274429*AF192^5)</f>
        <v>0.1586811810730786</v>
      </c>
      <c r="AI192" s="29" t="b">
        <f>+F93&gt;=W187</f>
        <v>1</v>
      </c>
      <c r="AJ192" s="29">
        <f>ABS((F93-W189)/IF(AI192,Y188,Y189))</f>
        <v>0.49999999999999967</v>
      </c>
      <c r="AK192" s="29">
        <f>MIN(2.5,ABS((F93-(W187+Y183*ABS(F93-W187)/ABS(IF(AI192,Y188+Y183,Y189-Y183))*MIN(1,AJ192)))/(MIN(1.52,AJ192)/1.52*IF(AI192,Y184,Y185)+(1.52-MIN(1.52,AJ192))/3.04*Y186+(1.52-MIN(1.52,AJ192))/3.04*Y187)))</f>
        <v>0.47529365503624876</v>
      </c>
      <c r="AL192" s="29">
        <f>1/(1+(0.2316419*AK192))</f>
        <v>0.9008214295331268</v>
      </c>
      <c r="AM192" s="29">
        <f>0.398942281*((2.71828)^((-(AK192^2)/2)))</f>
        <v>0.3563326818281537</v>
      </c>
      <c r="AN192" s="29">
        <f>AM192*(0.31938153*AL192-0.356563782*AL192^2+1.781477937*AL192^3-1.821255978*AL192^4+1.330274429*AL192^5)</f>
        <v>0.3172888719492587</v>
      </c>
    </row>
    <row r="193" spans="25:40" ht="12.75">
      <c r="Y193" s="29">
        <f>MIN(2.5,ABS((D93-W189)/(MIN(1.52,X192)/1.52*IF(W192,Y184,Y185)+(1.52-MIN(1.52,X192))/3.04*Y186+(1.52-MIN(1.52,X192))/3.04*Y187)))</f>
        <v>1.5253171178933718</v>
      </c>
      <c r="Z193" s="29">
        <f t="shared" si="0"/>
        <v>0.7389195201664418</v>
      </c>
      <c r="AA193" s="29">
        <f t="shared" si="1"/>
        <v>0.12465144155234549</v>
      </c>
      <c r="AB193" s="29">
        <f t="shared" si="2"/>
        <v>0.06359008010634248</v>
      </c>
      <c r="AE193" s="29">
        <f>MIN(2.5,ABS((E93-W189)/(MIN(1.52,AD192)/1.52*IF(AC192,Y184,Y185)+(1.52-MIN(1.52,AD192))/3.04*Y186+(1.52-MIN(1.52,AD192))/3.04*Y187)))</f>
        <v>0.9998931003994053</v>
      </c>
      <c r="AF193" s="29">
        <f t="shared" si="3"/>
        <v>0.8119406343843573</v>
      </c>
      <c r="AG193" s="29">
        <f t="shared" si="4"/>
        <v>0.24199667282838577</v>
      </c>
      <c r="AH193" s="29">
        <f t="shared" si="5"/>
        <v>0.1586811810730786</v>
      </c>
      <c r="AK193" s="29">
        <f>MIN(2.5,ABS((F93-W189)/(MIN(1.52,AJ192)/1.52*IF(AI192,Y184,Y185)+(1.52-MIN(1.52,AJ192))/3.04*Y186+(1.52-MIN(1.52,AJ192))/3.04*Y187)))</f>
        <v>0.4917331014275347</v>
      </c>
      <c r="AL193" s="29">
        <f>1/(1+(0.2316419*AK193))</f>
        <v>0.8977418283593044</v>
      </c>
      <c r="AM193" s="29">
        <f>0.398942281*((2.71828)^((-(AK193^2)/2)))</f>
        <v>0.35351153197518304</v>
      </c>
      <c r="AN193" s="29">
        <f>AM193*(0.31938153*AL193-0.356563782*AL193^2+1.781477937*AL193^3-1.821255978*AL193^4+1.330274429*AL193^5)</f>
        <v>0.3114540410508863</v>
      </c>
    </row>
    <row r="194" spans="23:40" ht="12.75">
      <c r="W194" s="29" t="b">
        <f>+G93&gt;=W187</f>
        <v>0</v>
      </c>
      <c r="X194" s="29">
        <f>ABS((G93-W189)/IF(W194,Y188,Y189))</f>
        <v>0</v>
      </c>
      <c r="Y194" s="29">
        <f>MIN(2.5,ABS((G93-(W187+Y183*ABS(G93-W187)/ABS(IF(W194,Y188+Y183,Y189-Y183))*MIN(1,X194)))/(MIN(1.52,X194)/1.52*IF(W194,Y184,Y185)+(1.52-MIN(1.52,X194))/3.04*Y186+(1.52-MIN(1.52,X194))/3.04*Y187)))</f>
        <v>0.021403585502362134</v>
      </c>
      <c r="Z194" s="29">
        <f t="shared" si="0"/>
        <v>0.9950664929535994</v>
      </c>
      <c r="AA194" s="29">
        <f t="shared" si="1"/>
        <v>0.3988509111094947</v>
      </c>
      <c r="AB194" s="29">
        <f t="shared" si="2"/>
        <v>0.49146181457218485</v>
      </c>
      <c r="AC194" s="29" t="b">
        <f>+H93&gt;=W187</f>
        <v>0</v>
      </c>
      <c r="AD194" s="29">
        <f>ABS((H93-W189)/IF(AC194,Y188,Y189))</f>
        <v>0.4999999999999999</v>
      </c>
      <c r="AE194" s="29">
        <f>MIN(2.5,ABS((H93-(W187+Y183*ABS(H93-W187)/ABS(IF(AC194,Y188+Y183,Y189-Y183))*MIN(1,AD194)))/(MIN(1.52,AD194)/1.52*IF(AC194,Y184,Y185)+(1.52-MIN(1.52,AD194))/3.04*Y186+(1.52-MIN(1.52,AD194))/3.04*Y187)))</f>
        <v>0.5236943169961672</v>
      </c>
      <c r="AF194" s="29">
        <f t="shared" si="3"/>
        <v>0.8918143995338853</v>
      </c>
      <c r="AG194" s="29">
        <f t="shared" si="4"/>
        <v>0.3478213447131696</v>
      </c>
      <c r="AH194" s="29">
        <f t="shared" si="5"/>
        <v>0.30024559356674163</v>
      </c>
      <c r="AI194" s="29" t="b">
        <f>+I93&gt;=W187</f>
        <v>0</v>
      </c>
      <c r="AJ194" s="29">
        <f>ABS((I93-W189)/IF(AI194,Y188,Y189))</f>
        <v>0.9999999999999998</v>
      </c>
      <c r="AK194" s="29">
        <f>MIN(2.5,ABS((I93-(W187+Y183*ABS(I93-W187)/ABS(IF(AI194,Y188+Y183,Y189-Y183))*MIN(1,AJ194)))/(MIN(1.52,AJ194)/1.52*IF(AI194,Y184,Y185)+(1.52-MIN(1.52,AJ194))/3.04*Y186+(1.52-MIN(1.52,AJ194))/3.04*Y187)))</f>
        <v>1.000100204699147</v>
      </c>
      <c r="AL194" s="29">
        <f>1/(1+(0.2316419*AK194))</f>
        <v>0.8119090088500956</v>
      </c>
      <c r="AM194" s="29">
        <f>0.398942281*((2.71828)^((-(AK194^2)/2)))</f>
        <v>0.24194655966788528</v>
      </c>
      <c r="AN194" s="29">
        <f>AM194*(0.31938153*AL194-0.356563782*AL194^2+1.781477937*AL194^3-1.821255978*AL194^4+1.330274429*AL194^5)</f>
        <v>0.15863106781392264</v>
      </c>
    </row>
    <row r="195" spans="11:40" ht="12.75">
      <c r="K195" s="29" t="s">
        <v>0</v>
      </c>
      <c r="Y195" s="29">
        <f>MIN(2.5,ABS((G93-W189)/(MIN(1.52,X194)/1.52*IF(W194,Y184,Y185)+(1.52-MIN(1.52,X194))/3.04*Y186+(1.52-MIN(1.52,X194))/3.04*Y187)))</f>
        <v>0</v>
      </c>
      <c r="Z195" s="29">
        <f t="shared" si="0"/>
        <v>1</v>
      </c>
      <c r="AA195" s="29">
        <f t="shared" si="1"/>
        <v>0.398942281</v>
      </c>
      <c r="AB195" s="29">
        <f t="shared" si="2"/>
        <v>0.5000000002253843</v>
      </c>
      <c r="AE195" s="29">
        <f>MIN(2.5,ABS((H93-W189)/(MIN(1.52,AD194)/1.52*IF(AC194,Y184,Y185)+(1.52-MIN(1.52,AD194))/3.04*Y186+(1.52-MIN(1.52,AD194))/3.04*Y187)))</f>
        <v>0.5080039115880398</v>
      </c>
      <c r="AF195" s="29">
        <f t="shared" si="3"/>
        <v>0.8947144812177368</v>
      </c>
      <c r="AG195" s="29">
        <f t="shared" si="4"/>
        <v>0.35064799148101594</v>
      </c>
      <c r="AH195" s="29">
        <f t="shared" si="5"/>
        <v>0.30572531620089266</v>
      </c>
      <c r="AK195" s="29">
        <f>MIN(2.5,ABS((I93-W189)/(MIN(1.52,AJ194)/1.52*IF(AI194,Y184,Y185)+(1.52-MIN(1.52,AJ194))/3.04*Y186+(1.52-MIN(1.52,AJ194))/3.04*Y187)))</f>
        <v>1.000100204699147</v>
      </c>
      <c r="AL195" s="29">
        <f>1/(1+(0.2316419*AK195))</f>
        <v>0.8119090088500956</v>
      </c>
      <c r="AM195" s="29">
        <f>0.398942281*((2.71828)^((-(AK195^2)/2)))</f>
        <v>0.24194655966788528</v>
      </c>
      <c r="AN195" s="29">
        <f>AM195*(0.31938153*AL195-0.356563782*AL195^2+1.781477937*AL195^3-1.821255978*AL195^4+1.330274429*AL195^5)</f>
        <v>0.15863106781392264</v>
      </c>
    </row>
    <row r="196" spans="23:34" ht="12.75">
      <c r="W196" s="29" t="b">
        <f>+J93&gt;=W187</f>
        <v>0</v>
      </c>
      <c r="X196" s="29">
        <f>ABS((J93-W189)/IF(W196,Y188,Y189))</f>
        <v>1.5</v>
      </c>
      <c r="Y196" s="29">
        <f>MIN(2.5,ABS((J93-(W187+Y183*ABS(J93-W187)/ABS(IF(W196,Y188+Y183,Y189-Y183))*MIN(1,X196)))/(MIN(1.52,X196)/1.52*IF(W196,Y184,Y185)+(1.52-MIN(1.52,X196))/3.04*Y186+(1.52-MIN(1.52,X196))/3.04*Y187)))</f>
        <v>1.4670249922082017</v>
      </c>
      <c r="Z196" s="29">
        <f t="shared" si="0"/>
        <v>0.7463664326448349</v>
      </c>
      <c r="AA196" s="29">
        <f t="shared" si="1"/>
        <v>0.1360110737733168</v>
      </c>
      <c r="AB196" s="29">
        <f t="shared" si="2"/>
        <v>0.07118471646032332</v>
      </c>
      <c r="AC196" s="29" t="b">
        <f>0&gt;=W187</f>
        <v>0</v>
      </c>
      <c r="AD196" s="29">
        <f>ABS((0-W189)/IF(AC196,Y188,Y189))</f>
        <v>4.161616552750093</v>
      </c>
      <c r="AE196" s="29">
        <f>MIN(2.5,ABS((0-(W187+Y183*ABS(0-W187)/ABS(IF(AC196,Y188+Y183,Y189-Y183))*MIN(1,AD196)))/(MIN(1.52,AD196)/1.52*IF(AC196,Y184,Y185)+(1.52-MIN(1.52,AD196))/3.04*Y186+(1.52-MIN(1.52,AD196))/3.04*Y187)))</f>
        <v>2.5</v>
      </c>
      <c r="AF196" s="29">
        <f t="shared" si="3"/>
        <v>0.6332702121249398</v>
      </c>
      <c r="AG196" s="29">
        <f t="shared" si="4"/>
        <v>0.017528337365090806</v>
      </c>
      <c r="AH196" s="29">
        <f t="shared" si="5"/>
        <v>0.00620969291581936</v>
      </c>
    </row>
    <row r="197" spans="25:34" ht="12.75">
      <c r="Y197" s="29">
        <f>MIN(2.5,ABS((J93-W189)/(MIN(1.52,X196)/1.52*IF(W196,Y184,Y185)+(1.52-MIN(1.52,X196))/3.04*Y186+(1.52-MIN(1.52,X196))/3.04*Y187)))</f>
        <v>1.4770245568376783</v>
      </c>
      <c r="Z197" s="29">
        <f t="shared" si="0"/>
        <v>0.7450783247599966</v>
      </c>
      <c r="AA197" s="29">
        <f t="shared" si="1"/>
        <v>0.13402370807808026</v>
      </c>
      <c r="AB197" s="29">
        <f t="shared" si="2"/>
        <v>0.06983461251029388</v>
      </c>
      <c r="AE197" s="29">
        <f>MIN(2.5,ABS((0-W189)/(MIN(1.52,AD196)/1.52*IF(AC196,Y184,Y185)+(1.52-MIN(1.52,AD196))/3.04*Y186+(1.52-MIN(1.52,AD196))/3.04*Y187)))</f>
        <v>2.5</v>
      </c>
      <c r="AF197" s="29">
        <f t="shared" si="3"/>
        <v>0.6332702121249398</v>
      </c>
      <c r="AG197" s="29">
        <f t="shared" si="4"/>
        <v>0.017528337365090806</v>
      </c>
      <c r="AH197" s="29">
        <f t="shared" si="5"/>
        <v>0.00620969291581936</v>
      </c>
    </row>
    <row r="204" ht="12.75">
      <c r="K204" s="29" t="s">
        <v>0</v>
      </c>
    </row>
    <row r="207" ht="12.75">
      <c r="K207" s="29" t="s">
        <v>0</v>
      </c>
    </row>
    <row r="220" ht="12.75">
      <c r="K220" s="29" t="s">
        <v>0</v>
      </c>
    </row>
    <row r="241" ht="12.75">
      <c r="K241" s="29" t="s">
        <v>0</v>
      </c>
    </row>
    <row r="243" ht="12.75">
      <c r="K243" s="29" t="s">
        <v>0</v>
      </c>
    </row>
    <row r="261" ht="12.75">
      <c r="K261" s="29" t="s">
        <v>0</v>
      </c>
    </row>
  </sheetData>
  <sheetProtection/>
  <mergeCells count="20">
    <mergeCell ref="B2:I2"/>
    <mergeCell ref="B13:I13"/>
    <mergeCell ref="C15:I15"/>
    <mergeCell ref="C14:I14"/>
    <mergeCell ref="C21:D21"/>
    <mergeCell ref="C18:D18"/>
    <mergeCell ref="C19:D19"/>
    <mergeCell ref="C20:D20"/>
    <mergeCell ref="C22:D22"/>
    <mergeCell ref="C23:E23"/>
    <mergeCell ref="C24:D24"/>
    <mergeCell ref="C25:D25"/>
    <mergeCell ref="F97:I97"/>
    <mergeCell ref="F98:I98"/>
    <mergeCell ref="B48:D48"/>
    <mergeCell ref="B44:C44"/>
    <mergeCell ref="C26:D26"/>
    <mergeCell ref="C27:E27"/>
    <mergeCell ref="C28:D28"/>
    <mergeCell ref="C29:D29"/>
  </mergeCells>
  <conditionalFormatting sqref="J97:J98">
    <cfRule type="cellIs" priority="1" dxfId="1" operator="lessThan" stopIfTrue="1">
      <formula>0</formula>
    </cfRule>
  </conditionalFormatting>
  <hyperlinks>
    <hyperlink ref="A40" location="Procurement!E5" display="Procurement Detail"/>
  </hyperlinks>
  <printOptions horizontalCentered="1"/>
  <pageMargins left="0.75" right="0.75" top="1" bottom="1" header="0.5" footer="0.5"/>
  <pageSetup fitToHeight="0" fitToWidth="1" horizontalDpi="600" verticalDpi="600" orientation="portrait" scale="20" r:id="rId4"/>
  <headerFooter alignWithMargins="0">
    <oddFooter>&amp;C&amp;"Arial"&amp;10Extension Ag Econ</oddFooter>
  </headerFooter>
  <rowBreaks count="1" manualBreakCount="1">
    <brk id="62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B2:K11"/>
  <sheetViews>
    <sheetView zoomScalePageLayoutView="0" workbookViewId="0" topLeftCell="A1">
      <selection activeCell="I2" sqref="I2:K2"/>
    </sheetView>
  </sheetViews>
  <sheetFormatPr defaultColWidth="8.421875" defaultRowHeight="12.75"/>
  <cols>
    <col min="1" max="1" width="0.9921875" style="97" customWidth="1"/>
    <col min="2" max="2" width="5.00390625" style="97" customWidth="1"/>
    <col min="3" max="3" width="8.421875" style="97" customWidth="1"/>
    <col min="4" max="4" width="22.140625" style="97" customWidth="1"/>
    <col min="5" max="5" width="8.57421875" style="97" customWidth="1"/>
    <col min="6" max="6" width="10.8515625" style="97" customWidth="1"/>
    <col min="7" max="8" width="12.7109375" style="97" customWidth="1"/>
    <col min="9" max="16384" width="8.421875" style="97" customWidth="1"/>
  </cols>
  <sheetData>
    <row r="2" spans="9:11" ht="12.75">
      <c r="I2" s="119" t="s">
        <v>195</v>
      </c>
      <c r="J2" s="119"/>
      <c r="K2" s="119"/>
    </row>
    <row r="3" spans="2:8" ht="12.75">
      <c r="B3" s="120" t="s">
        <v>196</v>
      </c>
      <c r="C3" s="120"/>
      <c r="D3" s="120"/>
      <c r="E3" s="120"/>
      <c r="F3" s="120"/>
      <c r="G3" s="120"/>
      <c r="H3" s="120"/>
    </row>
    <row r="5" spans="2:8" ht="12.75">
      <c r="B5" s="98" t="s">
        <v>7</v>
      </c>
      <c r="C5" s="98"/>
      <c r="D5" s="98"/>
      <c r="E5" s="99" t="s">
        <v>152</v>
      </c>
      <c r="F5" s="99" t="s">
        <v>139</v>
      </c>
      <c r="G5" s="99" t="s">
        <v>135</v>
      </c>
      <c r="H5" s="99" t="s">
        <v>78</v>
      </c>
    </row>
    <row r="6" ht="12.75">
      <c r="H6" s="97" t="s">
        <v>61</v>
      </c>
    </row>
    <row r="7" spans="2:8" ht="12.75">
      <c r="B7" s="121" t="s">
        <v>129</v>
      </c>
      <c r="C7" s="121"/>
      <c r="D7" s="121"/>
      <c r="E7" s="97" t="s">
        <v>92</v>
      </c>
      <c r="F7" s="97">
        <f>+Main!F39</f>
        <v>5.5</v>
      </c>
      <c r="G7" s="100">
        <v>0</v>
      </c>
      <c r="H7" s="100">
        <f>F7*G7</f>
        <v>0</v>
      </c>
    </row>
    <row r="8" spans="2:8" ht="12.75">
      <c r="B8" s="121" t="s">
        <v>151</v>
      </c>
      <c r="C8" s="121"/>
      <c r="D8" s="121"/>
      <c r="E8" s="97" t="s">
        <v>121</v>
      </c>
      <c r="F8" s="97">
        <v>100</v>
      </c>
      <c r="G8" s="100">
        <v>0</v>
      </c>
      <c r="H8" s="100">
        <f>+(F8*G8)/34</f>
        <v>0</v>
      </c>
    </row>
    <row r="9" spans="7:8" ht="12.75">
      <c r="G9" s="100"/>
      <c r="H9" s="100"/>
    </row>
    <row r="10" spans="2:8" ht="12.75">
      <c r="B10" s="101" t="s">
        <v>148</v>
      </c>
      <c r="C10" s="101"/>
      <c r="D10" s="101"/>
      <c r="E10" s="101"/>
      <c r="F10" s="101"/>
      <c r="G10" s="102"/>
      <c r="H10" s="102">
        <f>SUM(H7:H8)</f>
        <v>0</v>
      </c>
    </row>
    <row r="11" spans="2:8" ht="12.75">
      <c r="B11" s="101"/>
      <c r="C11" s="101"/>
      <c r="D11" s="101"/>
      <c r="E11" s="101"/>
      <c r="F11" s="101"/>
      <c r="G11" s="102"/>
      <c r="H11" s="102"/>
    </row>
  </sheetData>
  <sheetProtection/>
  <mergeCells count="4">
    <mergeCell ref="I2:K2"/>
    <mergeCell ref="B3:H3"/>
    <mergeCell ref="B8:D8"/>
    <mergeCell ref="B7:D7"/>
  </mergeCells>
  <hyperlinks>
    <hyperlink ref="I2:K2" location="Main!A40" display="Return to Main Budget"/>
  </hyperlinks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Total Cost Budget&amp;R&amp;"Arial"&amp;10 Page &amp;N+1</oddHeader>
    <oddFooter>&amp;C&amp;"Arial"&amp;10Extension Ag Econ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18"/>
  <sheetViews>
    <sheetView zoomScalePageLayoutView="0" workbookViewId="0" topLeftCell="B1">
      <selection activeCell="K18" sqref="K18"/>
    </sheetView>
  </sheetViews>
  <sheetFormatPr defaultColWidth="9.140625" defaultRowHeight="12.75"/>
  <cols>
    <col min="1" max="1" width="23.00390625" style="0" customWidth="1"/>
    <col min="4" max="4" width="22.421875" style="0" customWidth="1"/>
    <col min="5" max="5" width="9.7109375" style="0" bestFit="1" customWidth="1"/>
    <col min="7" max="7" width="22.421875" style="0" bestFit="1" customWidth="1"/>
    <col min="10" max="10" width="22.421875" style="0" bestFit="1" customWidth="1"/>
    <col min="11" max="11" width="8.7109375" style="0" customWidth="1"/>
  </cols>
  <sheetData>
    <row r="1" spans="1:4" ht="12.75">
      <c r="A1" s="110" t="s">
        <v>180</v>
      </c>
      <c r="B1" s="110"/>
      <c r="C1" s="110"/>
      <c r="D1" s="93">
        <f>+total_production*100</f>
        <v>77220</v>
      </c>
    </row>
    <row r="2" spans="1:4" ht="12.75">
      <c r="A2" t="s">
        <v>181</v>
      </c>
      <c r="D2">
        <f>+D1/40000</f>
        <v>1.9305</v>
      </c>
    </row>
    <row r="4" spans="1:10" ht="12.75">
      <c r="A4" s="95" t="s">
        <v>182</v>
      </c>
      <c r="D4" s="95" t="s">
        <v>186</v>
      </c>
      <c r="G4" s="95" t="s">
        <v>190</v>
      </c>
      <c r="J4" s="95" t="s">
        <v>194</v>
      </c>
    </row>
    <row r="5" spans="1:11" ht="12.75">
      <c r="A5" t="s">
        <v>183</v>
      </c>
      <c r="B5" s="94">
        <f>+futures</f>
        <v>97</v>
      </c>
      <c r="D5" t="s">
        <v>191</v>
      </c>
      <c r="E5" s="94">
        <v>82</v>
      </c>
      <c r="G5" t="s">
        <v>183</v>
      </c>
      <c r="H5" s="94">
        <v>90</v>
      </c>
      <c r="J5" t="s">
        <v>191</v>
      </c>
      <c r="K5" s="94">
        <f>+E5</f>
        <v>82</v>
      </c>
    </row>
    <row r="6" spans="1:11" ht="12.75">
      <c r="A6" t="s">
        <v>181</v>
      </c>
      <c r="B6">
        <v>2</v>
      </c>
      <c r="D6" t="s">
        <v>187</v>
      </c>
      <c r="E6" s="94">
        <f>+(1.585+1.45)/2</f>
        <v>1.5175</v>
      </c>
      <c r="G6" t="s">
        <v>181</v>
      </c>
      <c r="H6">
        <v>1</v>
      </c>
      <c r="J6" t="s">
        <v>187</v>
      </c>
      <c r="K6" s="94">
        <f>+E6</f>
        <v>1.5175</v>
      </c>
    </row>
    <row r="7" spans="1:11" ht="12.75">
      <c r="A7" t="s">
        <v>184</v>
      </c>
      <c r="B7" s="94">
        <v>62.35</v>
      </c>
      <c r="D7" t="s">
        <v>188</v>
      </c>
      <c r="E7" s="94">
        <f>+(E6*400*E8)/num_finished</f>
        <v>18.86557886557887</v>
      </c>
      <c r="G7" t="s">
        <v>184</v>
      </c>
      <c r="H7" s="94">
        <v>62.35</v>
      </c>
      <c r="J7" t="s">
        <v>188</v>
      </c>
      <c r="K7" s="94">
        <f>+(K6*400*K8)/num_finished</f>
        <v>18.86557886557887</v>
      </c>
    </row>
    <row r="8" spans="1:11" ht="12.75">
      <c r="A8" t="s">
        <v>185</v>
      </c>
      <c r="B8" s="94">
        <f>+B7*B6/num_finished</f>
        <v>1.937839937839938</v>
      </c>
      <c r="D8" t="s">
        <v>181</v>
      </c>
      <c r="E8">
        <v>2</v>
      </c>
      <c r="G8" t="s">
        <v>185</v>
      </c>
      <c r="H8" s="94">
        <f>+H7*H6/num_finished</f>
        <v>0.968919968919969</v>
      </c>
      <c r="J8" t="s">
        <v>181</v>
      </c>
      <c r="K8">
        <v>2</v>
      </c>
    </row>
    <row r="9" spans="4:11" ht="12.75">
      <c r="D9" t="s">
        <v>184</v>
      </c>
      <c r="E9" s="94">
        <v>32.5</v>
      </c>
      <c r="G9" t="s">
        <v>192</v>
      </c>
      <c r="H9" s="94">
        <v>78</v>
      </c>
      <c r="J9" t="s">
        <v>184</v>
      </c>
      <c r="K9" s="94">
        <v>32.5</v>
      </c>
    </row>
    <row r="10" spans="4:11" ht="12.75">
      <c r="D10" t="s">
        <v>185</v>
      </c>
      <c r="E10" s="94">
        <f>+E9*E8/num_finished</f>
        <v>1.0101010101010102</v>
      </c>
      <c r="G10" t="s">
        <v>187</v>
      </c>
      <c r="H10" s="94">
        <v>1.35</v>
      </c>
      <c r="J10" t="s">
        <v>185</v>
      </c>
      <c r="K10" s="94">
        <f>+K9*K8/num_finished</f>
        <v>1.0101010101010102</v>
      </c>
    </row>
    <row r="11" spans="4:11" ht="12.75">
      <c r="D11" t="s">
        <v>189</v>
      </c>
      <c r="E11" s="94">
        <f>+E10+E7</f>
        <v>19.87567987567988</v>
      </c>
      <c r="G11" t="s">
        <v>188</v>
      </c>
      <c r="H11" s="94">
        <f>+(H10*400*H12)/num_finished</f>
        <v>8.391608391608392</v>
      </c>
      <c r="J11" t="s">
        <v>192</v>
      </c>
      <c r="K11" s="94">
        <v>94</v>
      </c>
    </row>
    <row r="12" spans="7:11" ht="12.75">
      <c r="G12" t="s">
        <v>181</v>
      </c>
      <c r="H12">
        <v>1</v>
      </c>
      <c r="J12" t="s">
        <v>187</v>
      </c>
      <c r="K12" s="94">
        <f>+(0.38+0.8)/2</f>
        <v>0.5900000000000001</v>
      </c>
    </row>
    <row r="13" spans="7:11" ht="12.75">
      <c r="G13" t="s">
        <v>184</v>
      </c>
      <c r="H13" s="94">
        <v>32.5</v>
      </c>
      <c r="J13" t="s">
        <v>188</v>
      </c>
      <c r="K13" s="94">
        <f>-(K12*400*K14)/num_finished</f>
        <v>-7.334887334887337</v>
      </c>
    </row>
    <row r="14" spans="7:11" ht="12.75">
      <c r="G14" t="s">
        <v>185</v>
      </c>
      <c r="H14" s="94">
        <f>+H13*H12/num_finished</f>
        <v>0.5050505050505051</v>
      </c>
      <c r="J14" t="s">
        <v>181</v>
      </c>
      <c r="K14">
        <v>2</v>
      </c>
    </row>
    <row r="15" spans="7:11" ht="12.75">
      <c r="G15" t="s">
        <v>189</v>
      </c>
      <c r="H15" s="94">
        <f>+H14+H11+H8</f>
        <v>9.865578865578867</v>
      </c>
      <c r="J15" t="s">
        <v>184</v>
      </c>
      <c r="K15" s="94">
        <v>32.5</v>
      </c>
    </row>
    <row r="16" spans="7:11" ht="26.25">
      <c r="G16" s="96" t="s">
        <v>193</v>
      </c>
      <c r="H16" s="94">
        <f>+H9-H5</f>
        <v>-12</v>
      </c>
      <c r="J16" t="s">
        <v>185</v>
      </c>
      <c r="K16" s="94">
        <f>+K15*K14/num_finished</f>
        <v>1.0101010101010102</v>
      </c>
    </row>
    <row r="17" spans="10:11" ht="12.75">
      <c r="J17" t="s">
        <v>189</v>
      </c>
      <c r="K17" s="94">
        <f>+K7+K10+K13+K16</f>
        <v>13.550893550893552</v>
      </c>
    </row>
    <row r="18" spans="10:11" ht="26.25">
      <c r="J18" s="96" t="s">
        <v>193</v>
      </c>
      <c r="K18" s="94">
        <f>+K11-K6</f>
        <v>92.4825</v>
      </c>
    </row>
  </sheetData>
  <sheetProtection/>
  <mergeCells count="1">
    <mergeCell ref="A1:C1"/>
  </mergeCells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Variable Cost Budget&amp;R&amp;"Arial"&amp;10 Page &amp;N+1</oddHeader>
    <oddFooter>&amp;C&amp;"Arial"&amp;10Extension Ag Econ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O18"/>
  <sheetViews>
    <sheetView zoomScalePageLayoutView="0" workbookViewId="0" topLeftCell="A1">
      <selection activeCell="A12" sqref="A12:E18"/>
    </sheetView>
  </sheetViews>
  <sheetFormatPr defaultColWidth="9.140625" defaultRowHeight="12.75"/>
  <cols>
    <col min="1" max="1" width="18.421875" style="0" customWidth="1"/>
    <col min="2" max="3" width="10.7109375" style="0" bestFit="1" customWidth="1"/>
    <col min="12" max="12" width="9.7109375" style="0" bestFit="1" customWidth="1"/>
    <col min="14" max="14" width="11.57421875" style="0" bestFit="1" customWidth="1"/>
  </cols>
  <sheetData>
    <row r="2" spans="2:10" ht="12.75">
      <c r="B2" s="118" t="s">
        <v>204</v>
      </c>
      <c r="C2" s="118"/>
      <c r="D2" s="118"/>
      <c r="E2" s="118"/>
      <c r="G2" t="s">
        <v>213</v>
      </c>
      <c r="I2" t="s">
        <v>199</v>
      </c>
      <c r="J2" t="s">
        <v>207</v>
      </c>
    </row>
    <row r="3" spans="1:15" ht="12.75">
      <c r="A3" t="s">
        <v>205</v>
      </c>
      <c r="B3" s="94">
        <f>+C3*0.9</f>
        <v>144</v>
      </c>
      <c r="C3" s="94">
        <f>+feed_ton</f>
        <v>160</v>
      </c>
      <c r="D3" s="94">
        <v>100</v>
      </c>
      <c r="E3" s="94">
        <v>125</v>
      </c>
      <c r="G3">
        <f>+exp_price</f>
        <v>96.01</v>
      </c>
      <c r="I3">
        <f>+feed_cost+markup</f>
        <v>23925.329999999998</v>
      </c>
      <c r="J3">
        <f>+yardage</f>
        <v>4328.8245</v>
      </c>
      <c r="K3" t="s">
        <v>200</v>
      </c>
      <c r="N3" t="s">
        <v>201</v>
      </c>
      <c r="O3">
        <f>+total_production/num_finished</f>
        <v>12</v>
      </c>
    </row>
    <row r="4" spans="1:11" ht="12.75">
      <c r="A4">
        <v>6</v>
      </c>
      <c r="B4" s="94">
        <f>+((tvc-total_feed_cost)+(Sensitivity!$K4*Sensitivity!B$3*UNIT))/(total_production)</f>
        <v>77.9426725759882</v>
      </c>
      <c r="C4" s="94">
        <f>+((tvc-total_feed_cost)+(Sensitivity!$K4*Sensitivity!C$3*UNIT))/(total_production)</f>
        <v>80.56893520225083</v>
      </c>
      <c r="D4" s="94">
        <f>+((tvc-total_feed_cost)+(Sensitivity!$K4*Sensitivity!D$3*UNIT))/(total_production)</f>
        <v>70.72045035376597</v>
      </c>
      <c r="E4" s="94">
        <f>+((tvc-total_feed_cost)+(Sensitivity!$K4*Sensitivity!E$3*UNIT))/(total_production)</f>
        <v>74.82398570730133</v>
      </c>
      <c r="K4">
        <f>+(out_wt-in_wt)*100*Sensitivity!A4/2000</f>
        <v>1.95</v>
      </c>
    </row>
    <row r="5" spans="1:11" ht="12.75">
      <c r="A5">
        <v>6.5</v>
      </c>
      <c r="B5" s="94">
        <f>+((tvc-total_feed_cost)+(Sensitivity!$K5*Sensitivity!B$3*UNIT))/(total_production)</f>
        <v>79.91236954568517</v>
      </c>
      <c r="C5" s="94">
        <f>+((tvc-total_feed_cost)+(Sensitivity!$K5*Sensitivity!C$3*UNIT))/(total_production)</f>
        <v>82.757487390803</v>
      </c>
      <c r="D5" s="94">
        <f>+((tvc-total_feed_cost)+(Sensitivity!$K5*Sensitivity!D$3*UNIT))/(total_production)</f>
        <v>72.08829547161109</v>
      </c>
      <c r="E5" s="94">
        <f>+((tvc-total_feed_cost)+(Sensitivity!$K5*Sensitivity!E$3*UNIT))/(total_production)</f>
        <v>76.53379210460773</v>
      </c>
      <c r="K5">
        <f>+(out_wt-in_wt)*100*Sensitivity!A5/2000</f>
        <v>2.1125</v>
      </c>
    </row>
    <row r="6" spans="1:11" ht="12.75">
      <c r="A6">
        <f>+feed_conversion</f>
        <v>7.15</v>
      </c>
      <c r="B6" s="94">
        <f>+((tvc-total_feed_cost)+(Sensitivity!$K6*Sensitivity!B$3*UNIT))/(total_production)</f>
        <v>82.47297560629123</v>
      </c>
      <c r="C6" s="94">
        <f>+((tvc-total_feed_cost)+(Sensitivity!$K6*Sensitivity!C$3*UNIT))/(total_production)</f>
        <v>85.60260523592086</v>
      </c>
      <c r="D6" s="94">
        <f>+((tvc-total_feed_cost)+(Sensitivity!$K6*Sensitivity!D$3*UNIT))/(total_production)</f>
        <v>73.86649412480975</v>
      </c>
      <c r="E6" s="94">
        <f>+((tvc-total_feed_cost)+(Sensitivity!$K6*Sensitivity!E$3*UNIT))/(total_production)</f>
        <v>78.75654042110604</v>
      </c>
      <c r="K6">
        <f>+(out_wt-in_wt)*100*Sensitivity!A6/2000</f>
        <v>2.32375</v>
      </c>
    </row>
    <row r="7" spans="1:11" ht="12.75">
      <c r="A7">
        <v>7.75</v>
      </c>
      <c r="B7" s="94">
        <f>+((tvc-total_feed_cost)+(Sensitivity!$K7*Sensitivity!B$3*UNIT))/(total_production)</f>
        <v>84.83661196992759</v>
      </c>
      <c r="C7" s="94">
        <f>+((tvc-total_feed_cost)+(Sensitivity!$K7*Sensitivity!C$3*UNIT))/(total_production)</f>
        <v>88.22886786218349</v>
      </c>
      <c r="D7" s="94">
        <f>+((tvc-total_feed_cost)+(Sensitivity!$K7*Sensitivity!D$3*UNIT))/(total_production)</f>
        <v>75.5079082662239</v>
      </c>
      <c r="E7" s="94">
        <f>+((tvc-total_feed_cost)+(Sensitivity!$K7*Sensitivity!E$3*UNIT))/(total_production)</f>
        <v>80.80830809787372</v>
      </c>
      <c r="K7">
        <f>+(out_wt-in_wt)*100*Sensitivity!A7/2000</f>
        <v>2.51875</v>
      </c>
    </row>
    <row r="8" spans="1:11" ht="12.75">
      <c r="A8">
        <v>8.5</v>
      </c>
      <c r="B8" s="94">
        <f>+((tvc-total_feed_cost)+(Sensitivity!$K8*Sensitivity!B$3*UNIT))/(total_production)</f>
        <v>87.79115742447304</v>
      </c>
      <c r="C8" s="94">
        <f>+((tvc-total_feed_cost)+(Sensitivity!$K8*Sensitivity!C$3*UNIT))/(total_production)</f>
        <v>91.51169614501177</v>
      </c>
      <c r="D8" s="94">
        <f>+((tvc-total_feed_cost)+(Sensitivity!$K8*Sensitivity!D$3*UNIT))/(total_production)</f>
        <v>77.55967594299156</v>
      </c>
      <c r="E8" s="94">
        <f>+((tvc-total_feed_cost)+(Sensitivity!$K8*Sensitivity!E$3*UNIT))/(total_production)</f>
        <v>83.37301769383332</v>
      </c>
      <c r="K8">
        <f>+(out_wt-in_wt)*100*Sensitivity!A8/2000</f>
        <v>2.7625</v>
      </c>
    </row>
    <row r="12" spans="2:5" ht="12.75">
      <c r="B12" s="118" t="s">
        <v>204</v>
      </c>
      <c r="C12" s="118"/>
      <c r="D12" s="118"/>
      <c r="E12" s="118"/>
    </row>
    <row r="13" spans="1:15" ht="12.75">
      <c r="A13" t="s">
        <v>206</v>
      </c>
      <c r="B13" s="94">
        <f>+C13*0.9</f>
        <v>144</v>
      </c>
      <c r="C13" s="94">
        <f>+feed_ton</f>
        <v>160</v>
      </c>
      <c r="D13" s="94">
        <v>100</v>
      </c>
      <c r="E13" s="94">
        <v>125</v>
      </c>
      <c r="K13" t="s">
        <v>208</v>
      </c>
      <c r="L13" t="s">
        <v>209</v>
      </c>
      <c r="M13" t="s">
        <v>210</v>
      </c>
      <c r="N13" t="s">
        <v>212</v>
      </c>
      <c r="O13" t="s">
        <v>211</v>
      </c>
    </row>
    <row r="14" spans="1:15" ht="12.75">
      <c r="A14">
        <v>2.5</v>
      </c>
      <c r="B14" s="94">
        <f>+(tvc-total_feed_cost-yardage-Main!$I$50+(tons_hd*Sensitivity!B$13*num_finished)+Sensitivity!$N14)/total_production</f>
        <v>83.51417656012175</v>
      </c>
      <c r="C14" s="94">
        <f>+(tvc-total_feed_cost-yardage-Main!$I$50+(tons_hd*Sensitivity!C$13*num_finished)+Sensitivity!$N14)/total_production</f>
        <v>86.61250989345511</v>
      </c>
      <c r="D14" s="94">
        <f>+(tvc-total_feed_cost-yardage-Main!$I$50+(tons_hd*Sensitivity!D$13*num_finished)+Sensitivity!$N14)/total_production</f>
        <v>74.99375989345509</v>
      </c>
      <c r="E14" s="94">
        <f>+(tvc-total_feed_cost-yardage-Main!$I$50+(tons_hd*Sensitivity!E$13*num_finished)+Sensitivity!$N14)/total_production</f>
        <v>79.83490572678843</v>
      </c>
      <c r="K14">
        <f>+ROUND((out_wt-in_wt)*100/A14,0)</f>
        <v>260</v>
      </c>
      <c r="L14" s="94">
        <f>+K14*Main!$H$46*num_finished</f>
        <v>5186.609999999999</v>
      </c>
      <c r="M14">
        <f>+((SUM(Main!$I$44:$I$49)-yardage)+Sensitivity!L14)*K14/365*int_rate/2</f>
        <v>866.6708931506847</v>
      </c>
      <c r="N14">
        <f>+M14+L14</f>
        <v>6053.280893150683</v>
      </c>
      <c r="O14">
        <f>+(tvc-yardage-Main!$I$50)+N14</f>
        <v>66882.18013972603</v>
      </c>
    </row>
    <row r="15" spans="1:15" ht="12.75">
      <c r="A15">
        <v>2.75</v>
      </c>
      <c r="B15" s="94">
        <f>+(tvc-total_feed_cost-yardage-Main!$I$50+(tons_hd*Sensitivity!B$13*num_finished)+Sensitivity!$N15)/total_production</f>
        <v>82.77454088280061</v>
      </c>
      <c r="C15" s="94">
        <f>+(tvc-total_feed_cost-yardage-Main!$I$50+(tons_hd*Sensitivity!C$13*num_finished)+Sensitivity!$N15)/total_production</f>
        <v>85.87287421613394</v>
      </c>
      <c r="D15" s="94">
        <f>+(tvc-total_feed_cost-yardage-Main!$I$50+(tons_hd*Sensitivity!D$13*num_finished)+Sensitivity!$N15)/total_production</f>
        <v>74.25412421613395</v>
      </c>
      <c r="E15" s="94">
        <f>+(tvc-total_feed_cost-yardage-Main!$I$50+(tons_hd*Sensitivity!E$13*num_finished)+Sensitivity!$N15)/total_production</f>
        <v>79.09527004946727</v>
      </c>
      <c r="K15">
        <f>+ROUND((out_wt-in_wt)*100/A15,0)</f>
        <v>236</v>
      </c>
      <c r="L15" s="94">
        <f>+K15*Main!$H$46*num_finished</f>
        <v>4707.846</v>
      </c>
      <c r="M15">
        <f>+((SUM(Main!$I$44:$I$49)-yardage)+Sensitivity!L15)*K15/365*int_rate/2</f>
        <v>774.2882231232878</v>
      </c>
      <c r="N15">
        <f>+M15+L15</f>
        <v>5482.1342231232875</v>
      </c>
      <c r="O15">
        <f>+(tvc-yardage-Main!$I$50)+N15</f>
        <v>66311.03346969862</v>
      </c>
    </row>
    <row r="16" spans="1:15" ht="12.75">
      <c r="A16">
        <f>+adg</f>
        <v>3</v>
      </c>
      <c r="B16" s="94">
        <f>+(tvc-total_feed_cost-yardage-Main!$I$50+(tons_hd*Sensitivity!B$13*num_finished)+Sensitivity!$N16)/total_production</f>
        <v>82.19130893962455</v>
      </c>
      <c r="C16" s="94">
        <f>+(tvc-total_feed_cost-yardage-Main!$I$50+(tons_hd*Sensitivity!C$13*num_finished)+Sensitivity!$N16)/total_production</f>
        <v>85.28964227295789</v>
      </c>
      <c r="D16" s="94">
        <f>+(tvc-total_feed_cost-yardage-Main!$I$50+(tons_hd*Sensitivity!D$13*num_finished)+Sensitivity!$N16)/total_production</f>
        <v>73.6708922729579</v>
      </c>
      <c r="E16" s="94">
        <f>+(tvc-total_feed_cost-yardage-Main!$I$50+(tons_hd*Sensitivity!E$13*num_finished)+Sensitivity!$N16)/total_production</f>
        <v>78.51203810629123</v>
      </c>
      <c r="K16">
        <f>+ROUND((out_wt-in_wt)*100/A16,0)</f>
        <v>217</v>
      </c>
      <c r="L16" s="94">
        <f>+K16*Main!$H$46*num_finished</f>
        <v>4328.8245</v>
      </c>
      <c r="M16">
        <f>+((SUM(Main!$I$44:$I$49)-yardage)+Sensitivity!L16)*K16/365*int_rate/2</f>
        <v>702.9380166027397</v>
      </c>
      <c r="N16">
        <f>+M16+L16</f>
        <v>5031.762516602739</v>
      </c>
      <c r="O16">
        <f>+(tvc-yardage-Main!$I$50)+N16</f>
        <v>65860.66176317808</v>
      </c>
    </row>
    <row r="17" spans="1:15" ht="12.75">
      <c r="A17">
        <v>3.25</v>
      </c>
      <c r="B17" s="94">
        <f>+(tvc-total_feed_cost-yardage-Main!$I$50+(tons_hd*Sensitivity!B$13*num_finished)+Sensitivity!$N17)/total_production</f>
        <v>81.67120243531203</v>
      </c>
      <c r="C17" s="94">
        <f>+(tvc-total_feed_cost-yardage-Main!$I$50+(tons_hd*Sensitivity!C$13*num_finished)+Sensitivity!$N17)/total_production</f>
        <v>84.76953576864537</v>
      </c>
      <c r="D17" s="94">
        <f>+(tvc-total_feed_cost-yardage-Main!$I$50+(tons_hd*Sensitivity!D$13*num_finished)+Sensitivity!$N17)/total_production</f>
        <v>73.15078576864536</v>
      </c>
      <c r="E17" s="94">
        <f>+(tvc-total_feed_cost-yardage-Main!$I$50+(tons_hd*Sensitivity!E$13*num_finished)+Sensitivity!$N17)/total_production</f>
        <v>77.99193160197869</v>
      </c>
      <c r="K17">
        <f>+ROUND((out_wt-in_wt)*100/A17,0)</f>
        <v>200</v>
      </c>
      <c r="L17" s="94">
        <f>+K17*Main!$H$46*num_finished</f>
        <v>3989.7</v>
      </c>
      <c r="M17">
        <f>+((SUM(Main!$I$44:$I$49)-yardage)+Sensitivity!L17)*K17/365*int_rate/2</f>
        <v>640.4362739726027</v>
      </c>
      <c r="N17">
        <f>+M17+L17</f>
        <v>4630.136273972603</v>
      </c>
      <c r="O17">
        <f>+(tvc-yardage-Main!$I$50)+N17</f>
        <v>65459.03552054794</v>
      </c>
    </row>
    <row r="18" spans="1:15" ht="12.75">
      <c r="A18">
        <v>3.5</v>
      </c>
      <c r="B18" s="94">
        <f>+(tvc-total_feed_cost-yardage-Main!$I$50+(tons_hd*Sensitivity!B$13*num_finished)+Sensitivity!$N18)/total_production</f>
        <v>81.24410810755961</v>
      </c>
      <c r="C18" s="94">
        <f>+(tvc-total_feed_cost-yardage-Main!$I$50+(tons_hd*Sensitivity!C$13*num_finished)+Sensitivity!$N18)/total_production</f>
        <v>84.34244144089296</v>
      </c>
      <c r="D18" s="94">
        <f>+(tvc-total_feed_cost-yardage-Main!$I$50+(tons_hd*Sensitivity!D$13*num_finished)+Sensitivity!$N18)/total_production</f>
        <v>72.72369144089295</v>
      </c>
      <c r="E18" s="94">
        <f>+(tvc-total_feed_cost-yardage-Main!$I$50+(tons_hd*Sensitivity!E$13*num_finished)+Sensitivity!$N18)/total_production</f>
        <v>77.56483727422628</v>
      </c>
      <c r="K18">
        <f>+ROUND((out_wt-in_wt)*100/A18,0)</f>
        <v>186</v>
      </c>
      <c r="L18" s="94">
        <f>+K18*Main!$H$46*num_finished</f>
        <v>3710.4209999999994</v>
      </c>
      <c r="M18">
        <f>+((SUM(Main!$I$44:$I$49)-yardage)+Sensitivity!L18)*K18/365*int_rate/2</f>
        <v>589.9130340821918</v>
      </c>
      <c r="N18">
        <f>+M18+L18</f>
        <v>4300.3340340821915</v>
      </c>
      <c r="O18">
        <f>+(tvc-yardage-Main!$I$50)+N18</f>
        <v>65129.23328065753</v>
      </c>
    </row>
  </sheetData>
  <sheetProtection/>
  <mergeCells count="2">
    <mergeCell ref="B2:E2"/>
    <mergeCell ref="B12:E12"/>
  </mergeCells>
  <conditionalFormatting sqref="B4:E8 B14:E18">
    <cfRule type="cellIs" priority="1" dxfId="0" operator="lessThanOrEqual" stopIfTrue="1">
      <formula>$G$3</formula>
    </cfRule>
  </conditionalFormatting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Variable Cost Budget&amp;R&amp;"Arial"&amp;10 Page &amp;N+1</oddHeader>
    <oddFooter>&amp;C&amp;"Arial"&amp;10Extension Ag Econ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Variable Cost Budget&amp;R&amp;"Arial"&amp;10 Page &amp;N+1</oddHeader>
    <oddFooter>&amp;C&amp;"Arial"&amp;10Extension Ag Econ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Variable Cost Budget&amp;R&amp;"Arial"&amp;10 Page &amp;N+1</oddHeader>
    <oddFooter>&amp;C&amp;"Arial"&amp;10Extension Ag Econ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Variable Cost Budget&amp;R&amp;"Arial"&amp;10 Page &amp;N+1</oddHeader>
    <oddFooter>&amp;C&amp;"Arial"&amp;10Extension Ag Econ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O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4:15" ht="12.75">
      <c r="N1" s="2">
        <v>-9581.531232465388</v>
      </c>
      <c r="O1" s="1">
        <v>0.023003877509144725</v>
      </c>
    </row>
    <row r="2" spans="14:15" ht="12.75">
      <c r="N2" s="2">
        <v>-6915.060793976609</v>
      </c>
      <c r="O2" s="1">
        <v>0.06724530595292019</v>
      </c>
    </row>
    <row r="3" spans="1:15" ht="12.75">
      <c r="A3">
        <v>1</v>
      </c>
      <c r="N3" s="2">
        <v>-4248.590355487829</v>
      </c>
      <c r="O3" s="1">
        <v>0.15865180004601023</v>
      </c>
    </row>
    <row r="4" spans="14:15" ht="12.75">
      <c r="N4" s="2">
        <v>-2915.355136243439</v>
      </c>
      <c r="O4" s="1">
        <v>0.22597237757298577</v>
      </c>
    </row>
    <row r="5" spans="14:15" ht="12.75">
      <c r="N5" s="2">
        <v>-1582.1199169990493</v>
      </c>
      <c r="O5" s="1">
        <v>0.3073415226033273</v>
      </c>
    </row>
    <row r="6" spans="14:15" ht="12.75">
      <c r="N6" s="2">
        <v>-248.88469775465956</v>
      </c>
      <c r="O6" s="1">
        <v>0.39987086270440464</v>
      </c>
    </row>
    <row r="7" spans="14:15" ht="12.75">
      <c r="N7" s="2">
        <v>1084.3505214897302</v>
      </c>
      <c r="O7" s="1">
        <v>0.4987960681626383</v>
      </c>
    </row>
    <row r="8" spans="14:15" ht="12.75">
      <c r="N8" s="2">
        <v>1100.370996880873</v>
      </c>
      <c r="O8" s="1">
        <v>0.49999999977461573</v>
      </c>
    </row>
    <row r="9" spans="14:15" ht="12.75">
      <c r="N9" s="2">
        <v>2405.4490169529513</v>
      </c>
      <c r="O9" s="3">
        <v>0.5972775091340766</v>
      </c>
    </row>
    <row r="10" spans="14:15" ht="12.75">
      <c r="N10" s="2">
        <v>3726.547512416172</v>
      </c>
      <c r="O10" s="3">
        <v>0.690257282945819</v>
      </c>
    </row>
    <row r="11" spans="14:15" ht="12.75">
      <c r="N11" s="2">
        <v>5047.646007879393</v>
      </c>
      <c r="O11" s="3">
        <v>0.7727111243806082</v>
      </c>
    </row>
    <row r="12" spans="14:15" ht="12.75">
      <c r="N12" s="2">
        <v>6368.744503342615</v>
      </c>
      <c r="O12" s="3">
        <v>0.8413411415010246</v>
      </c>
    </row>
    <row r="13" spans="14:15" ht="12.75">
      <c r="N13" s="2">
        <v>9010.941494269056</v>
      </c>
      <c r="O13" s="3">
        <v>0.9336345210809937</v>
      </c>
    </row>
    <row r="14" spans="14:15" ht="12.75">
      <c r="N14" s="2">
        <v>11653.138485195499</v>
      </c>
      <c r="O14" s="3">
        <v>0.9775048198699561</v>
      </c>
    </row>
  </sheetData>
  <sheetProtection/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Variable Cost Budget&amp;R&amp;"Arial"&amp;10 Page &amp;N+1</oddHeader>
    <oddFooter>&amp;C&amp;"Arial"&amp;10Extension Ag Econ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</dc:creator>
  <cp:keywords/>
  <dc:description/>
  <cp:lastModifiedBy>Levi</cp:lastModifiedBy>
  <cp:lastPrinted>2009-10-07T13:58:52Z</cp:lastPrinted>
  <dcterms:created xsi:type="dcterms:W3CDTF">2000-08-22T13:26:41Z</dcterms:created>
  <dcterms:modified xsi:type="dcterms:W3CDTF">2016-10-10T03:39:00Z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-1122544013</vt:i4>
  </property>
  <property fmtid="{D5CDD505-2E9C-101B-9397-08002B2CF9AE}" pid="3" name="_EmailSubject">
    <vt:lpwstr>Electronic files for web posting</vt:lpwstr>
  </property>
  <property fmtid="{D5CDD505-2E9C-101B-9397-08002B2CF9AE}" pid="4" name="_AuthorEmail">
    <vt:lpwstr>clacy@uga.edu</vt:lpwstr>
  </property>
  <property fmtid="{D5CDD505-2E9C-101B-9397-08002B2CF9AE}" pid="5" name="_AuthorEmailDisplayName">
    <vt:lpwstr>Curt Lacy</vt:lpwstr>
  </property>
  <property fmtid="{D5CDD505-2E9C-101B-9397-08002B2CF9AE}" pid="6" name="_ReviewingToolsShownOnce">
    <vt:lpwstr/>
  </property>
</Properties>
</file>