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5605" windowHeight="15600" tabRatio="790" firstSheet="1" activeTab="1"/>
  </bookViews>
  <sheets>
    <sheet name="Sheet1" sheetId="18" state="hidden" r:id="rId1"/>
    <sheet name="Conventional" sheetId="1" r:id="rId2"/>
    <sheet name="Prices" sheetId="10" state="hidden" r:id="rId3"/>
    <sheet name="Strip-Till" sheetId="2" r:id="rId4"/>
    <sheet name="Peanut Price Calculator" sheetId="17" r:id="rId5"/>
    <sheet name="Price Comparison" sheetId="14" r:id="rId6"/>
    <sheet name="CTillCharts" sheetId="11" r:id="rId7"/>
    <sheet name="STillCharts" sheetId="16" r:id="rId8"/>
    <sheet name="Irrigated" sheetId="7" state="hidden" r:id="rId9"/>
    <sheet name="Dryland" sheetId="3" state="hidden" r:id="rId10"/>
    <sheet name="Irrigated ST" sheetId="9" state="hidden" r:id="rId11"/>
    <sheet name="Dryland ST" sheetId="8" state="hidden" r:id="rId12"/>
  </sheets>
  <definedNames>
    <definedName name="_xlnm.Print_Area" localSheetId="1">Conventional!$A$1:$AA$48</definedName>
    <definedName name="_xlnm.Print_Area" localSheetId="6">CTillCharts!$A$1:$M$408</definedName>
    <definedName name="_xlnm.Print_Area" localSheetId="9">Dryland!$A$6:$M$38</definedName>
    <definedName name="_xlnm.Print_Area" localSheetId="11">'Dryland ST'!$A$6:$M$38</definedName>
    <definedName name="_xlnm.Print_Area" localSheetId="8">Irrigated!$A$4:$M$38</definedName>
    <definedName name="_xlnm.Print_Area" localSheetId="10">'Irrigated ST'!$A$3:$M$38</definedName>
    <definedName name="_xlnm.Print_Area" localSheetId="4">'Peanut Price Calculator'!$A$9:$I$28</definedName>
    <definedName name="_xlnm.Print_Area" localSheetId="5">'Price Comparison'!$A$1:$I$18</definedName>
    <definedName name="_xlnm.Print_Area" localSheetId="7">STillCharts!$A$1:$M$408</definedName>
    <definedName name="_xlnm.Print_Area" localSheetId="3">'Strip-Till'!$A$1:$U$50</definedName>
    <definedName name="TVC" localSheetId="7">Dryland!#REF!</definedName>
    <definedName name="TVC">Dryland!#REF!</definedName>
    <definedName name="yield" localSheetId="7">Dryland!#REF!</definedName>
    <definedName name="yield">Dryland!#REF!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3" i="17" l="1"/>
  <c r="A12" i="17"/>
  <c r="B8" i="2"/>
  <c r="D36" i="2"/>
  <c r="N36" i="2"/>
  <c r="D23" i="2"/>
  <c r="D21" i="2"/>
  <c r="N21" i="2"/>
  <c r="N16" i="2"/>
  <c r="D16" i="2"/>
  <c r="D14" i="2"/>
  <c r="N35" i="1"/>
  <c r="D35" i="1"/>
  <c r="N20" i="1"/>
  <c r="D20" i="1"/>
  <c r="N15" i="1"/>
  <c r="D15" i="1"/>
  <c r="N14" i="2"/>
  <c r="N13" i="1"/>
  <c r="D13" i="1"/>
  <c r="J36" i="2"/>
  <c r="T36" i="2"/>
  <c r="T24" i="2"/>
  <c r="J23" i="2"/>
  <c r="T16" i="2"/>
  <c r="J16" i="2"/>
  <c r="D48" i="2"/>
  <c r="F48" i="2"/>
  <c r="H48" i="2"/>
  <c r="T14" i="2"/>
  <c r="J14" i="2"/>
  <c r="T13" i="1"/>
  <c r="T35" i="1"/>
  <c r="J35" i="1"/>
  <c r="J22" i="1"/>
  <c r="T22" i="1"/>
  <c r="T15" i="1"/>
  <c r="J15" i="1"/>
  <c r="J13" i="1"/>
  <c r="T20" i="1"/>
  <c r="J20" i="1"/>
  <c r="J21" i="2"/>
  <c r="T21" i="2"/>
  <c r="H36" i="2"/>
  <c r="R36" i="2"/>
  <c r="H23" i="2"/>
  <c r="R21" i="2"/>
  <c r="H21" i="2"/>
  <c r="H16" i="2"/>
  <c r="R16" i="2"/>
  <c r="R14" i="2"/>
  <c r="H14" i="2"/>
  <c r="H22" i="1"/>
  <c r="R22" i="1"/>
  <c r="R35" i="1"/>
  <c r="H35" i="1"/>
  <c r="H20" i="1"/>
  <c r="R20" i="1"/>
  <c r="R15" i="1"/>
  <c r="R13" i="1"/>
  <c r="H13" i="1"/>
  <c r="H15" i="1"/>
  <c r="P36" i="2"/>
  <c r="F36" i="2"/>
  <c r="F16" i="2"/>
  <c r="F14" i="2"/>
  <c r="F23" i="2"/>
  <c r="P23" i="2"/>
  <c r="F21" i="2"/>
  <c r="P21" i="2"/>
  <c r="P16" i="2"/>
  <c r="P14" i="2"/>
  <c r="F22" i="1"/>
  <c r="P35" i="1"/>
  <c r="F35" i="1"/>
  <c r="F20" i="1"/>
  <c r="F15" i="1"/>
  <c r="F13" i="1"/>
  <c r="P22" i="1"/>
  <c r="P20" i="1"/>
  <c r="P19" i="1"/>
  <c r="P15" i="1"/>
  <c r="P13" i="1"/>
  <c r="B28" i="2"/>
  <c r="B27" i="1"/>
  <c r="X8" i="1"/>
  <c r="D11" i="1"/>
  <c r="A2" i="2"/>
  <c r="N24" i="2"/>
  <c r="D24" i="2"/>
  <c r="B50" i="2"/>
  <c r="B20" i="2"/>
  <c r="B16" i="2"/>
  <c r="B11" i="2"/>
  <c r="B19" i="1"/>
  <c r="B14" i="2"/>
  <c r="B13" i="1"/>
  <c r="L28" i="2"/>
  <c r="L20" i="2"/>
  <c r="L16" i="2"/>
  <c r="L14" i="2"/>
  <c r="L11" i="2"/>
  <c r="L27" i="1"/>
  <c r="L19" i="1"/>
  <c r="L13" i="1"/>
  <c r="B24" i="2"/>
  <c r="L24" i="2"/>
  <c r="T20" i="2"/>
  <c r="T11" i="2"/>
  <c r="T27" i="2"/>
  <c r="T29" i="2"/>
  <c r="T31" i="2"/>
  <c r="T8" i="2"/>
  <c r="T34" i="2"/>
  <c r="R20" i="2"/>
  <c r="R24" i="2"/>
  <c r="R27" i="2"/>
  <c r="R31" i="2"/>
  <c r="R8" i="2"/>
  <c r="R34" i="2"/>
  <c r="P20" i="2"/>
  <c r="P27" i="2"/>
  <c r="P29" i="2"/>
  <c r="P31" i="2"/>
  <c r="P8" i="2"/>
  <c r="P34" i="2"/>
  <c r="J20" i="2"/>
  <c r="J22" i="2"/>
  <c r="J24" i="2"/>
  <c r="J11" i="2"/>
  <c r="J27" i="2"/>
  <c r="J29" i="2"/>
  <c r="J31" i="2"/>
  <c r="J8" i="2"/>
  <c r="J34" i="2"/>
  <c r="H20" i="2"/>
  <c r="H22" i="2"/>
  <c r="H24" i="2"/>
  <c r="H27" i="2"/>
  <c r="H31" i="2"/>
  <c r="H8" i="2"/>
  <c r="H34" i="2"/>
  <c r="F20" i="2"/>
  <c r="F22" i="2"/>
  <c r="F27" i="2"/>
  <c r="F29" i="2"/>
  <c r="F31" i="2"/>
  <c r="F8" i="2"/>
  <c r="F34" i="2"/>
  <c r="N18" i="2"/>
  <c r="N19" i="2"/>
  <c r="N20" i="2"/>
  <c r="N27" i="2"/>
  <c r="N7" i="2"/>
  <c r="N29" i="2"/>
  <c r="N30" i="2"/>
  <c r="N31" i="2"/>
  <c r="A27" i="17"/>
  <c r="B28" i="17"/>
  <c r="N8" i="2"/>
  <c r="N34" i="2"/>
  <c r="D18" i="2"/>
  <c r="D19" i="2"/>
  <c r="D20" i="2"/>
  <c r="D22" i="2"/>
  <c r="D27" i="2"/>
  <c r="D7" i="2"/>
  <c r="D29" i="2"/>
  <c r="D30" i="2"/>
  <c r="D31" i="2"/>
  <c r="A16" i="17"/>
  <c r="B17" i="17"/>
  <c r="D8" i="2"/>
  <c r="D34" i="2"/>
  <c r="L18" i="2"/>
  <c r="L19" i="2"/>
  <c r="L13" i="2"/>
  <c r="L27" i="2"/>
  <c r="L31" i="2"/>
  <c r="L8" i="2"/>
  <c r="L34" i="2"/>
  <c r="B18" i="2"/>
  <c r="B19" i="2"/>
  <c r="B22" i="2"/>
  <c r="B13" i="2"/>
  <c r="B27" i="2"/>
  <c r="B31" i="2"/>
  <c r="B34" i="2"/>
  <c r="A33" i="2"/>
  <c r="A34" i="2"/>
  <c r="X13" i="1"/>
  <c r="X19" i="1"/>
  <c r="X26" i="1"/>
  <c r="X28" i="1"/>
  <c r="X30" i="1"/>
  <c r="X33" i="1"/>
  <c r="V13" i="1"/>
  <c r="V19" i="1"/>
  <c r="V26" i="1"/>
  <c r="V28" i="1"/>
  <c r="V30" i="1"/>
  <c r="V33" i="1"/>
  <c r="T19" i="1"/>
  <c r="T26" i="1"/>
  <c r="T28" i="1"/>
  <c r="T30" i="1"/>
  <c r="T8" i="1"/>
  <c r="T33" i="1"/>
  <c r="R19" i="1"/>
  <c r="R26" i="1"/>
  <c r="R30" i="1"/>
  <c r="R8" i="1"/>
  <c r="R33" i="1"/>
  <c r="P26" i="1"/>
  <c r="P28" i="1"/>
  <c r="P30" i="1"/>
  <c r="P8" i="1"/>
  <c r="P33" i="1"/>
  <c r="N19" i="1"/>
  <c r="N26" i="1"/>
  <c r="N7" i="1"/>
  <c r="N28" i="1"/>
  <c r="N29" i="1"/>
  <c r="N30" i="1"/>
  <c r="N8" i="1"/>
  <c r="N33" i="1"/>
  <c r="L12" i="1"/>
  <c r="L26" i="1"/>
  <c r="L30" i="1"/>
  <c r="L8" i="1"/>
  <c r="L33" i="1"/>
  <c r="J19" i="1"/>
  <c r="J21" i="1"/>
  <c r="J26" i="1"/>
  <c r="J28" i="1"/>
  <c r="J30" i="1"/>
  <c r="J33" i="1"/>
  <c r="H19" i="1"/>
  <c r="H21" i="1"/>
  <c r="H26" i="1"/>
  <c r="H30" i="1"/>
  <c r="H33" i="1"/>
  <c r="F19" i="1"/>
  <c r="F21" i="1"/>
  <c r="F26" i="1"/>
  <c r="F28" i="1"/>
  <c r="F30" i="1"/>
  <c r="F33" i="1"/>
  <c r="D19" i="1"/>
  <c r="D21" i="1"/>
  <c r="D26" i="1"/>
  <c r="D7" i="1"/>
  <c r="D28" i="1"/>
  <c r="D29" i="1"/>
  <c r="D30" i="1"/>
  <c r="D8" i="1"/>
  <c r="D33" i="1"/>
  <c r="B12" i="1"/>
  <c r="B21" i="1"/>
  <c r="B26" i="1"/>
  <c r="B30" i="1"/>
  <c r="B33" i="1"/>
  <c r="D10" i="18"/>
  <c r="D11" i="18"/>
  <c r="D12" i="18"/>
  <c r="A10" i="18"/>
  <c r="A11" i="18"/>
  <c r="A12" i="18"/>
  <c r="E10" i="18"/>
  <c r="E11" i="18"/>
  <c r="E12" i="18"/>
  <c r="C10" i="18"/>
  <c r="C11" i="18"/>
  <c r="C12" i="18"/>
  <c r="B10" i="18"/>
  <c r="B11" i="18"/>
  <c r="B12" i="18"/>
  <c r="D3" i="18"/>
  <c r="D4" i="18"/>
  <c r="D5" i="18"/>
  <c r="A3" i="18"/>
  <c r="A4" i="18"/>
  <c r="A5" i="18"/>
  <c r="E3" i="18"/>
  <c r="E4" i="18"/>
  <c r="E5" i="18"/>
  <c r="C3" i="18"/>
  <c r="C4" i="18"/>
  <c r="C5" i="18"/>
  <c r="B3" i="18"/>
  <c r="B4" i="18"/>
  <c r="B5" i="18"/>
  <c r="J37" i="2"/>
  <c r="A3" i="2"/>
  <c r="B4" i="9"/>
  <c r="B3" i="9"/>
  <c r="B5" i="9"/>
  <c r="B269" i="11"/>
  <c r="B37" i="2"/>
  <c r="B372" i="11"/>
  <c r="A1" i="2"/>
  <c r="D37" i="2"/>
  <c r="F37" i="2"/>
  <c r="H37" i="2"/>
  <c r="B4" i="17"/>
  <c r="B6" i="17"/>
  <c r="A49" i="2"/>
  <c r="B406" i="16"/>
  <c r="B405" i="16"/>
  <c r="B337" i="16"/>
  <c r="B336" i="16"/>
  <c r="B304" i="16"/>
  <c r="B303" i="16"/>
  <c r="B236" i="16"/>
  <c r="B235" i="16"/>
  <c r="B100" i="16"/>
  <c r="B99" i="16"/>
  <c r="B66" i="16"/>
  <c r="B65" i="16"/>
  <c r="D4" i="9"/>
  <c r="E4" i="9"/>
  <c r="B406" i="11"/>
  <c r="B405" i="11"/>
  <c r="B337" i="11"/>
  <c r="B336" i="11"/>
  <c r="B304" i="11"/>
  <c r="B303" i="11"/>
  <c r="B236" i="11"/>
  <c r="B235" i="11"/>
  <c r="B133" i="11"/>
  <c r="B100" i="11"/>
  <c r="B99" i="11"/>
  <c r="B66" i="11"/>
  <c r="B65" i="11"/>
  <c r="D67" i="10"/>
  <c r="E67" i="10"/>
  <c r="B67" i="10"/>
  <c r="E46" i="10"/>
  <c r="D46" i="10"/>
  <c r="B46" i="10"/>
  <c r="T77" i="10"/>
  <c r="T76" i="10"/>
  <c r="T75" i="10"/>
  <c r="T74" i="10"/>
  <c r="T73" i="10"/>
  <c r="T72" i="10"/>
  <c r="T71" i="10"/>
  <c r="T70" i="10"/>
  <c r="N77" i="10"/>
  <c r="N78" i="10"/>
  <c r="N79" i="10"/>
  <c r="N80" i="10"/>
  <c r="N81" i="10"/>
  <c r="N82" i="10"/>
  <c r="N83" i="10"/>
  <c r="N84" i="10"/>
  <c r="B77" i="10"/>
  <c r="B78" i="10"/>
  <c r="B79" i="10"/>
  <c r="B80" i="10"/>
  <c r="B81" i="10"/>
  <c r="B82" i="10"/>
  <c r="B83" i="10"/>
  <c r="B84" i="10"/>
  <c r="T56" i="10"/>
  <c r="T57" i="10"/>
  <c r="T58" i="10"/>
  <c r="T59" i="10"/>
  <c r="T60" i="10"/>
  <c r="T61" i="10"/>
  <c r="T62" i="10"/>
  <c r="T63" i="10"/>
  <c r="N56" i="10"/>
  <c r="N55" i="10"/>
  <c r="N54" i="10"/>
  <c r="N53" i="10"/>
  <c r="N52" i="10"/>
  <c r="N51" i="10"/>
  <c r="N50" i="10"/>
  <c r="N49" i="10"/>
  <c r="B56" i="10"/>
  <c r="B57" i="10"/>
  <c r="B58" i="10"/>
  <c r="B59" i="10"/>
  <c r="B60" i="10"/>
  <c r="B61" i="10"/>
  <c r="B62" i="10"/>
  <c r="B63" i="10"/>
  <c r="B35" i="10"/>
  <c r="B34" i="10"/>
  <c r="B33" i="10"/>
  <c r="B32" i="10"/>
  <c r="B31" i="10"/>
  <c r="B30" i="10"/>
  <c r="B29" i="10"/>
  <c r="B28" i="10"/>
  <c r="N14" i="10"/>
  <c r="N15" i="10"/>
  <c r="N16" i="10"/>
  <c r="N17" i="10"/>
  <c r="N18" i="10"/>
  <c r="N19" i="10"/>
  <c r="N20" i="10"/>
  <c r="N21" i="10"/>
  <c r="T14" i="10"/>
  <c r="T15" i="10"/>
  <c r="T16" i="10"/>
  <c r="T17" i="10"/>
  <c r="T18" i="10"/>
  <c r="T19" i="10"/>
  <c r="T20" i="10"/>
  <c r="T21" i="10"/>
  <c r="T35" i="10"/>
  <c r="T36" i="10"/>
  <c r="T37" i="10"/>
  <c r="T38" i="10"/>
  <c r="T39" i="10"/>
  <c r="T40" i="10"/>
  <c r="T41" i="10"/>
  <c r="T42" i="10"/>
  <c r="N35" i="10"/>
  <c r="N36" i="10"/>
  <c r="N37" i="10"/>
  <c r="N38" i="10"/>
  <c r="N39" i="10"/>
  <c r="N40" i="10"/>
  <c r="N41" i="10"/>
  <c r="N42" i="10"/>
  <c r="E25" i="10"/>
  <c r="D25" i="10"/>
  <c r="B25" i="10"/>
  <c r="B14" i="10"/>
  <c r="B13" i="10"/>
  <c r="B12" i="10"/>
  <c r="B11" i="10"/>
  <c r="B10" i="10"/>
  <c r="B9" i="10"/>
  <c r="B8" i="10"/>
  <c r="B7" i="10"/>
  <c r="E4" i="10"/>
  <c r="D4" i="10"/>
  <c r="B4" i="10"/>
  <c r="L9" i="1"/>
  <c r="B4" i="3"/>
  <c r="E4" i="7"/>
  <c r="A36" i="7"/>
  <c r="E4" i="8"/>
  <c r="D3" i="9"/>
  <c r="D13" i="9"/>
  <c r="B13" i="9"/>
  <c r="E3" i="9"/>
  <c r="D33" i="9"/>
  <c r="F3" i="9"/>
  <c r="D23" i="9"/>
  <c r="K13" i="9"/>
  <c r="P9" i="2"/>
  <c r="D3" i="8"/>
  <c r="D13" i="8"/>
  <c r="B4" i="8"/>
  <c r="E3" i="8"/>
  <c r="D33" i="8"/>
  <c r="F3" i="8"/>
  <c r="D23" i="8"/>
  <c r="B3" i="8"/>
  <c r="K13" i="8"/>
  <c r="L13" i="8"/>
  <c r="B2" i="8"/>
  <c r="C2" i="8"/>
  <c r="D2" i="8"/>
  <c r="E2" i="8"/>
  <c r="F2" i="8"/>
  <c r="B2" i="9"/>
  <c r="C2" i="9"/>
  <c r="D2" i="9"/>
  <c r="E2" i="9"/>
  <c r="F2" i="9"/>
  <c r="B2" i="7"/>
  <c r="C2" i="7"/>
  <c r="D2" i="7"/>
  <c r="E2" i="7"/>
  <c r="F2" i="7"/>
  <c r="G2" i="7"/>
  <c r="B3" i="7"/>
  <c r="K13" i="7"/>
  <c r="D3" i="7"/>
  <c r="D13" i="7"/>
  <c r="E3" i="7"/>
  <c r="D33" i="7"/>
  <c r="F33" i="7"/>
  <c r="F3" i="7"/>
  <c r="D23" i="7"/>
  <c r="G3" i="7"/>
  <c r="K33" i="7"/>
  <c r="M33" i="7"/>
  <c r="B4" i="7"/>
  <c r="H16" i="7"/>
  <c r="D4" i="7"/>
  <c r="A16" i="7"/>
  <c r="G4" i="7"/>
  <c r="H36" i="7"/>
  <c r="G4" i="3"/>
  <c r="G3" i="3"/>
  <c r="K33" i="3"/>
  <c r="F3" i="3"/>
  <c r="D23" i="3"/>
  <c r="R9" i="1"/>
  <c r="E3" i="3"/>
  <c r="D33" i="3"/>
  <c r="P9" i="1"/>
  <c r="D3" i="3"/>
  <c r="D13" i="3"/>
  <c r="B13" i="3"/>
  <c r="B3" i="3"/>
  <c r="B2" i="3"/>
  <c r="C2" i="3"/>
  <c r="D2" i="3"/>
  <c r="E2" i="3"/>
  <c r="F2" i="3"/>
  <c r="G2" i="3"/>
  <c r="V9" i="1"/>
  <c r="H9" i="1"/>
  <c r="B9" i="1"/>
  <c r="F9" i="1"/>
  <c r="B201" i="16"/>
  <c r="B371" i="16"/>
  <c r="B270" i="16"/>
  <c r="B134" i="16"/>
  <c r="C3" i="8"/>
  <c r="K23" i="8"/>
  <c r="L23" i="8"/>
  <c r="C67" i="10"/>
  <c r="B202" i="16"/>
  <c r="B372" i="16"/>
  <c r="B168" i="16"/>
  <c r="B32" i="16"/>
  <c r="B269" i="16"/>
  <c r="C3" i="3"/>
  <c r="K23" i="3"/>
  <c r="B134" i="11"/>
  <c r="C3" i="9"/>
  <c r="K23" i="9"/>
  <c r="B167" i="16"/>
  <c r="B31" i="16"/>
  <c r="C46" i="10"/>
  <c r="B133" i="16"/>
  <c r="F4" i="3"/>
  <c r="F4" i="7"/>
  <c r="A26" i="7"/>
  <c r="F4" i="9"/>
  <c r="J9" i="1"/>
  <c r="F4" i="8"/>
  <c r="N76" i="10"/>
  <c r="N75" i="10"/>
  <c r="N74" i="10"/>
  <c r="N73" i="10"/>
  <c r="N72" i="10"/>
  <c r="N71" i="10"/>
  <c r="N70" i="10"/>
  <c r="B23" i="9"/>
  <c r="C23" i="9"/>
  <c r="E23" i="9"/>
  <c r="F23" i="9"/>
  <c r="F23" i="8"/>
  <c r="E23" i="8"/>
  <c r="B23" i="8"/>
  <c r="M13" i="9"/>
  <c r="L13" i="9"/>
  <c r="I13" i="9"/>
  <c r="J13" i="9"/>
  <c r="F5" i="8"/>
  <c r="M23" i="8"/>
  <c r="F5" i="9"/>
  <c r="J23" i="8"/>
  <c r="F13" i="9"/>
  <c r="I23" i="8"/>
  <c r="F33" i="8"/>
  <c r="C33" i="8"/>
  <c r="E33" i="8"/>
  <c r="B33" i="8"/>
  <c r="B33" i="9"/>
  <c r="C33" i="9"/>
  <c r="E33" i="9"/>
  <c r="F33" i="9"/>
  <c r="E13" i="8"/>
  <c r="C13" i="8"/>
  <c r="B13" i="8"/>
  <c r="F13" i="8"/>
  <c r="I23" i="9"/>
  <c r="L23" i="9"/>
  <c r="J23" i="9"/>
  <c r="M23" i="9"/>
  <c r="E13" i="9"/>
  <c r="C13" i="9"/>
  <c r="J13" i="8"/>
  <c r="E5" i="8"/>
  <c r="C23" i="8"/>
  <c r="I13" i="8"/>
  <c r="M13" i="8"/>
  <c r="E5" i="9"/>
  <c r="B5" i="8"/>
  <c r="D5" i="9"/>
  <c r="B371" i="11"/>
  <c r="B270" i="11"/>
  <c r="B202" i="11"/>
  <c r="B167" i="11"/>
  <c r="C4" i="10"/>
  <c r="B201" i="11"/>
  <c r="B31" i="11"/>
  <c r="D4" i="3"/>
  <c r="D5" i="3"/>
  <c r="F9" i="2"/>
  <c r="C6" i="7"/>
  <c r="B6" i="7"/>
  <c r="K16" i="7"/>
  <c r="E4" i="3"/>
  <c r="F5" i="3"/>
  <c r="C3" i="7"/>
  <c r="K23" i="7"/>
  <c r="J23" i="7"/>
  <c r="X9" i="1"/>
  <c r="R31" i="1"/>
  <c r="F23" i="3"/>
  <c r="B23" i="3"/>
  <c r="C23" i="3"/>
  <c r="T55" i="10"/>
  <c r="T54" i="10"/>
  <c r="T53" i="10"/>
  <c r="T52" i="10"/>
  <c r="T51" i="10"/>
  <c r="T50" i="10"/>
  <c r="T49" i="10"/>
  <c r="R9" i="2"/>
  <c r="H35" i="7"/>
  <c r="H35" i="3"/>
  <c r="H38" i="7"/>
  <c r="H38" i="3"/>
  <c r="H34" i="7"/>
  <c r="H34" i="3"/>
  <c r="E33" i="7"/>
  <c r="B76" i="10"/>
  <c r="B75" i="10"/>
  <c r="B74" i="10"/>
  <c r="B73" i="10"/>
  <c r="B72" i="10"/>
  <c r="B71" i="10"/>
  <c r="B70" i="10"/>
  <c r="B5" i="3"/>
  <c r="C33" i="7"/>
  <c r="J33" i="7"/>
  <c r="N13" i="10"/>
  <c r="N12" i="10"/>
  <c r="N11" i="10"/>
  <c r="N10" i="10"/>
  <c r="N9" i="10"/>
  <c r="N8" i="10"/>
  <c r="N7" i="10"/>
  <c r="B15" i="10"/>
  <c r="B16" i="10"/>
  <c r="B17" i="10"/>
  <c r="B18" i="10"/>
  <c r="B19" i="10"/>
  <c r="B20" i="10"/>
  <c r="B21" i="10"/>
  <c r="N57" i="10"/>
  <c r="N58" i="10"/>
  <c r="N59" i="10"/>
  <c r="N60" i="10"/>
  <c r="N61" i="10"/>
  <c r="N62" i="10"/>
  <c r="N63" i="10"/>
  <c r="L9" i="2"/>
  <c r="K13" i="3"/>
  <c r="I13" i="3"/>
  <c r="D4" i="8"/>
  <c r="D5" i="8"/>
  <c r="N34" i="10"/>
  <c r="N33" i="10"/>
  <c r="N32" i="10"/>
  <c r="N31" i="10"/>
  <c r="N30" i="10"/>
  <c r="N29" i="10"/>
  <c r="N28" i="10"/>
  <c r="D5" i="7"/>
  <c r="E33" i="3"/>
  <c r="F33" i="3"/>
  <c r="B33" i="3"/>
  <c r="E5" i="3"/>
  <c r="L33" i="7"/>
  <c r="I33" i="7"/>
  <c r="H37" i="7"/>
  <c r="H37" i="3"/>
  <c r="G5" i="7"/>
  <c r="B9" i="2"/>
  <c r="H36" i="3"/>
  <c r="F13" i="7"/>
  <c r="B13" i="7"/>
  <c r="C13" i="7"/>
  <c r="E13" i="7"/>
  <c r="M33" i="3"/>
  <c r="I33" i="3"/>
  <c r="L33" i="3"/>
  <c r="J33" i="3"/>
  <c r="A18" i="7"/>
  <c r="A14" i="7"/>
  <c r="A16" i="9"/>
  <c r="A15" i="7"/>
  <c r="A16" i="3"/>
  <c r="A17" i="7"/>
  <c r="A16" i="8"/>
  <c r="H16" i="8"/>
  <c r="H16" i="3"/>
  <c r="H14" i="7"/>
  <c r="H16" i="9"/>
  <c r="H17" i="7"/>
  <c r="H15" i="7"/>
  <c r="H18" i="7"/>
  <c r="J23" i="3"/>
  <c r="M23" i="3"/>
  <c r="I23" i="3"/>
  <c r="L23" i="3"/>
  <c r="M13" i="7"/>
  <c r="J13" i="7"/>
  <c r="I13" i="7"/>
  <c r="L13" i="7"/>
  <c r="F23" i="7"/>
  <c r="C23" i="7"/>
  <c r="B23" i="7"/>
  <c r="E23" i="7"/>
  <c r="B36" i="10"/>
  <c r="B37" i="10"/>
  <c r="B38" i="10"/>
  <c r="B39" i="10"/>
  <c r="B40" i="10"/>
  <c r="B41" i="10"/>
  <c r="B42" i="10"/>
  <c r="C33" i="3"/>
  <c r="C25" i="10"/>
  <c r="E13" i="3"/>
  <c r="H9" i="2"/>
  <c r="B55" i="10"/>
  <c r="B54" i="10"/>
  <c r="B53" i="10"/>
  <c r="B52" i="10"/>
  <c r="B51" i="10"/>
  <c r="B50" i="10"/>
  <c r="B49" i="10"/>
  <c r="B33" i="7"/>
  <c r="B5" i="7"/>
  <c r="B168" i="11"/>
  <c r="F13" i="3"/>
  <c r="T34" i="10"/>
  <c r="T33" i="10"/>
  <c r="T32" i="10"/>
  <c r="T31" i="10"/>
  <c r="T30" i="10"/>
  <c r="T29" i="10"/>
  <c r="T28" i="10"/>
  <c r="G5" i="3"/>
  <c r="C13" i="3"/>
  <c r="B32" i="11"/>
  <c r="E23" i="3"/>
  <c r="T13" i="10"/>
  <c r="T12" i="10"/>
  <c r="T11" i="10"/>
  <c r="T10" i="10"/>
  <c r="T9" i="10"/>
  <c r="T8" i="10"/>
  <c r="T7" i="10"/>
  <c r="J9" i="2"/>
  <c r="T9" i="1"/>
  <c r="A27" i="7"/>
  <c r="A25" i="7"/>
  <c r="A24" i="7"/>
  <c r="A28" i="7"/>
  <c r="A26" i="8"/>
  <c r="A26" i="3"/>
  <c r="A26" i="9"/>
  <c r="T9" i="2"/>
  <c r="F5" i="7"/>
  <c r="A36" i="3"/>
  <c r="A36" i="8"/>
  <c r="A35" i="7"/>
  <c r="A37" i="7"/>
  <c r="A34" i="7"/>
  <c r="A38" i="7"/>
  <c r="A36" i="9"/>
  <c r="E5" i="7"/>
  <c r="T78" i="10"/>
  <c r="T79" i="10"/>
  <c r="T80" i="10"/>
  <c r="T81" i="10"/>
  <c r="T82" i="10"/>
  <c r="T83" i="10"/>
  <c r="T84" i="10"/>
  <c r="N9" i="1"/>
  <c r="C4" i="3"/>
  <c r="C5" i="3"/>
  <c r="C4" i="7"/>
  <c r="H26" i="7"/>
  <c r="C4" i="9"/>
  <c r="C5" i="9"/>
  <c r="D9" i="2"/>
  <c r="F32" i="1"/>
  <c r="F6" i="7"/>
  <c r="L38" i="1"/>
  <c r="L39" i="1"/>
  <c r="L41" i="1"/>
  <c r="L16" i="7"/>
  <c r="B32" i="1"/>
  <c r="B3" i="10"/>
  <c r="J13" i="3"/>
  <c r="B38" i="1"/>
  <c r="B39" i="1"/>
  <c r="B41" i="1"/>
  <c r="B42" i="1"/>
  <c r="B31" i="1"/>
  <c r="M16" i="7"/>
  <c r="K14" i="7"/>
  <c r="M23" i="7"/>
  <c r="I23" i="7"/>
  <c r="J15" i="7"/>
  <c r="L23" i="7"/>
  <c r="L26" i="7"/>
  <c r="R32" i="1"/>
  <c r="D33" i="2"/>
  <c r="X31" i="1"/>
  <c r="I14" i="7"/>
  <c r="J14" i="7"/>
  <c r="M13" i="3"/>
  <c r="M14" i="7"/>
  <c r="X38" i="1"/>
  <c r="X39" i="1"/>
  <c r="X41" i="1"/>
  <c r="X45" i="1"/>
  <c r="I17" i="7"/>
  <c r="G6" i="3"/>
  <c r="L35" i="3"/>
  <c r="L13" i="3"/>
  <c r="M15" i="7"/>
  <c r="L14" i="7"/>
  <c r="M18" i="7"/>
  <c r="I16" i="7"/>
  <c r="J16" i="7"/>
  <c r="E6" i="9"/>
  <c r="K15" i="7"/>
  <c r="A17" i="9"/>
  <c r="A17" i="8"/>
  <c r="A17" i="3"/>
  <c r="H17" i="8"/>
  <c r="H17" i="3"/>
  <c r="H17" i="9"/>
  <c r="J17" i="7"/>
  <c r="L15" i="7"/>
  <c r="I15" i="7"/>
  <c r="H14" i="8"/>
  <c r="H14" i="3"/>
  <c r="H14" i="9"/>
  <c r="A14" i="9"/>
  <c r="A14" i="8"/>
  <c r="A14" i="3"/>
  <c r="L18" i="7"/>
  <c r="K17" i="7"/>
  <c r="I18" i="7"/>
  <c r="A18" i="9"/>
  <c r="A18" i="3"/>
  <c r="A18" i="8"/>
  <c r="M17" i="7"/>
  <c r="K18" i="7"/>
  <c r="H15" i="3"/>
  <c r="H15" i="8"/>
  <c r="H15" i="9"/>
  <c r="A15" i="8"/>
  <c r="A15" i="3"/>
  <c r="A15" i="9"/>
  <c r="L17" i="7"/>
  <c r="H18" i="9"/>
  <c r="H18" i="3"/>
  <c r="H18" i="8"/>
  <c r="J18" i="7"/>
  <c r="D32" i="1"/>
  <c r="C3" i="10"/>
  <c r="D38" i="1"/>
  <c r="D39" i="1"/>
  <c r="D41" i="1"/>
  <c r="D44" i="1"/>
  <c r="E6" i="3"/>
  <c r="D36" i="3"/>
  <c r="E24" i="10"/>
  <c r="R38" i="1"/>
  <c r="R39" i="1"/>
  <c r="R41" i="1"/>
  <c r="R44" i="1"/>
  <c r="A28" i="9"/>
  <c r="A28" i="8"/>
  <c r="A28" i="3"/>
  <c r="A25" i="9"/>
  <c r="A25" i="8"/>
  <c r="A25" i="3"/>
  <c r="A24" i="3"/>
  <c r="A24" i="9"/>
  <c r="A24" i="8"/>
  <c r="A27" i="8"/>
  <c r="A27" i="3"/>
  <c r="A27" i="9"/>
  <c r="A37" i="9"/>
  <c r="A37" i="8"/>
  <c r="A37" i="3"/>
  <c r="A38" i="8"/>
  <c r="A38" i="3"/>
  <c r="A38" i="9"/>
  <c r="A34" i="8"/>
  <c r="A34" i="3"/>
  <c r="A34" i="9"/>
  <c r="A35" i="9"/>
  <c r="A35" i="3"/>
  <c r="A35" i="8"/>
  <c r="N9" i="2"/>
  <c r="C4" i="8"/>
  <c r="C5" i="8"/>
  <c r="H56" i="10"/>
  <c r="H57" i="10"/>
  <c r="H58" i="10"/>
  <c r="H59" i="10"/>
  <c r="H60" i="10"/>
  <c r="H61" i="10"/>
  <c r="H62" i="10"/>
  <c r="H63" i="10"/>
  <c r="H35" i="10"/>
  <c r="H36" i="10"/>
  <c r="H37" i="10"/>
  <c r="H38" i="10"/>
  <c r="H39" i="10"/>
  <c r="H40" i="10"/>
  <c r="H41" i="10"/>
  <c r="H42" i="10"/>
  <c r="C5" i="7"/>
  <c r="D9" i="1"/>
  <c r="D31" i="1"/>
  <c r="H77" i="10"/>
  <c r="H78" i="10"/>
  <c r="H79" i="10"/>
  <c r="H80" i="10"/>
  <c r="H81" i="10"/>
  <c r="H82" i="10"/>
  <c r="H83" i="10"/>
  <c r="H84" i="10"/>
  <c r="H14" i="10"/>
  <c r="H26" i="3"/>
  <c r="H27" i="7"/>
  <c r="J27" i="7"/>
  <c r="H26" i="8"/>
  <c r="H25" i="7"/>
  <c r="M25" i="7"/>
  <c r="H24" i="7"/>
  <c r="H26" i="9"/>
  <c r="H28" i="7"/>
  <c r="I28" i="7"/>
  <c r="C6" i="3"/>
  <c r="N32" i="1"/>
  <c r="N31" i="1"/>
  <c r="C24" i="10"/>
  <c r="N38" i="1"/>
  <c r="N39" i="1"/>
  <c r="N41" i="1"/>
  <c r="X32" i="1"/>
  <c r="J26" i="7"/>
  <c r="M26" i="7"/>
  <c r="K26" i="7"/>
  <c r="I26" i="7"/>
  <c r="E6" i="7"/>
  <c r="H38" i="1"/>
  <c r="H39" i="1"/>
  <c r="H41" i="1"/>
  <c r="H32" i="1"/>
  <c r="H31" i="1"/>
  <c r="E3" i="10"/>
  <c r="V32" i="1"/>
  <c r="G6" i="7"/>
  <c r="V38" i="1"/>
  <c r="V39" i="1"/>
  <c r="V41" i="1"/>
  <c r="V42" i="1"/>
  <c r="V31" i="1"/>
  <c r="L42" i="1"/>
  <c r="L45" i="1"/>
  <c r="L44" i="1"/>
  <c r="B24" i="10"/>
  <c r="E30" i="10"/>
  <c r="B6" i="3"/>
  <c r="K16" i="3"/>
  <c r="L31" i="1"/>
  <c r="L32" i="1"/>
  <c r="M16" i="3"/>
  <c r="C21" i="10"/>
  <c r="I14" i="3"/>
  <c r="D42" i="1"/>
  <c r="C13" i="10"/>
  <c r="I16" i="3"/>
  <c r="B45" i="1"/>
  <c r="B44" i="1"/>
  <c r="C6" i="9"/>
  <c r="J26" i="9"/>
  <c r="K37" i="3"/>
  <c r="K35" i="3"/>
  <c r="X44" i="1"/>
  <c r="E15" i="10"/>
  <c r="J38" i="3"/>
  <c r="M35" i="3"/>
  <c r="C45" i="10"/>
  <c r="K36" i="3"/>
  <c r="I35" i="3"/>
  <c r="L38" i="3"/>
  <c r="D39" i="2"/>
  <c r="D40" i="2"/>
  <c r="D42" i="2"/>
  <c r="J35" i="3"/>
  <c r="M37" i="3"/>
  <c r="D32" i="2"/>
  <c r="R42" i="1"/>
  <c r="E33" i="10"/>
  <c r="X42" i="1"/>
  <c r="J37" i="3"/>
  <c r="L36" i="3"/>
  <c r="I36" i="3"/>
  <c r="F36" i="3"/>
  <c r="I34" i="3"/>
  <c r="M34" i="3"/>
  <c r="L34" i="3"/>
  <c r="K34" i="3"/>
  <c r="J34" i="3"/>
  <c r="I37" i="3"/>
  <c r="M38" i="3"/>
  <c r="I38" i="3"/>
  <c r="M36" i="3"/>
  <c r="C36" i="3"/>
  <c r="H33" i="2"/>
  <c r="J36" i="3"/>
  <c r="K38" i="3"/>
  <c r="L37" i="3"/>
  <c r="F37" i="3"/>
  <c r="E35" i="3"/>
  <c r="E37" i="3"/>
  <c r="D37" i="3"/>
  <c r="E38" i="3"/>
  <c r="L15" i="3"/>
  <c r="D35" i="3"/>
  <c r="B34" i="3"/>
  <c r="R45" i="1"/>
  <c r="B37" i="3"/>
  <c r="Q29" i="10"/>
  <c r="R32" i="10"/>
  <c r="K14" i="3"/>
  <c r="E36" i="3"/>
  <c r="B36" i="3"/>
  <c r="Q31" i="10"/>
  <c r="D38" i="3"/>
  <c r="H32" i="2"/>
  <c r="C37" i="3"/>
  <c r="C35" i="3"/>
  <c r="H39" i="2"/>
  <c r="H40" i="2"/>
  <c r="H42" i="2"/>
  <c r="H46" i="2"/>
  <c r="E45" i="10"/>
  <c r="B38" i="3"/>
  <c r="C12" i="10"/>
  <c r="C38" i="3"/>
  <c r="R35" i="10"/>
  <c r="C16" i="10"/>
  <c r="C17" i="10"/>
  <c r="H34" i="10"/>
  <c r="H33" i="10"/>
  <c r="H32" i="10"/>
  <c r="H31" i="10"/>
  <c r="H30" i="10"/>
  <c r="H29" i="10"/>
  <c r="H28" i="10"/>
  <c r="J28" i="10"/>
  <c r="C15" i="10"/>
  <c r="C19" i="10"/>
  <c r="C11" i="10"/>
  <c r="C18" i="10"/>
  <c r="C14" i="10"/>
  <c r="F35" i="3"/>
  <c r="B35" i="3"/>
  <c r="R29" i="10"/>
  <c r="C7" i="10"/>
  <c r="C10" i="10"/>
  <c r="C9" i="10"/>
  <c r="R34" i="10"/>
  <c r="G14" i="10"/>
  <c r="C8" i="10"/>
  <c r="R28" i="10"/>
  <c r="C20" i="10"/>
  <c r="F34" i="3"/>
  <c r="D45" i="1"/>
  <c r="F38" i="3"/>
  <c r="E39" i="10"/>
  <c r="E34" i="3"/>
  <c r="C34" i="3"/>
  <c r="D34" i="3"/>
  <c r="H55" i="10"/>
  <c r="H54" i="10"/>
  <c r="H53" i="10"/>
  <c r="H52" i="10"/>
  <c r="H51" i="10"/>
  <c r="H50" i="10"/>
  <c r="H49" i="10"/>
  <c r="H76" i="10"/>
  <c r="H75" i="10"/>
  <c r="H74" i="10"/>
  <c r="H73" i="10"/>
  <c r="H72" i="10"/>
  <c r="H71" i="10"/>
  <c r="H70" i="10"/>
  <c r="L27" i="7"/>
  <c r="H13" i="10"/>
  <c r="H15" i="10"/>
  <c r="J15" i="10"/>
  <c r="M27" i="7"/>
  <c r="M28" i="7"/>
  <c r="J39" i="10"/>
  <c r="J36" i="10"/>
  <c r="K27" i="7"/>
  <c r="J28" i="7"/>
  <c r="K28" i="7"/>
  <c r="L28" i="7"/>
  <c r="J37" i="10"/>
  <c r="H24" i="8"/>
  <c r="H24" i="3"/>
  <c r="K24" i="3"/>
  <c r="H24" i="9"/>
  <c r="H25" i="8"/>
  <c r="H25" i="3"/>
  <c r="L25" i="3"/>
  <c r="H25" i="9"/>
  <c r="M24" i="7"/>
  <c r="I27" i="7"/>
  <c r="I24" i="7"/>
  <c r="L24" i="7"/>
  <c r="I25" i="7"/>
  <c r="J34" i="10"/>
  <c r="H28" i="8"/>
  <c r="H28" i="3"/>
  <c r="L28" i="3"/>
  <c r="H28" i="9"/>
  <c r="J25" i="7"/>
  <c r="L25" i="7"/>
  <c r="J24" i="7"/>
  <c r="K25" i="7"/>
  <c r="K24" i="7"/>
  <c r="H27" i="3"/>
  <c r="J27" i="3"/>
  <c r="H27" i="9"/>
  <c r="H27" i="8"/>
  <c r="C6" i="8"/>
  <c r="C66" i="10"/>
  <c r="N32" i="2"/>
  <c r="N33" i="2"/>
  <c r="N39" i="2"/>
  <c r="N40" i="2"/>
  <c r="N42" i="2"/>
  <c r="G42" i="10"/>
  <c r="R41" i="10"/>
  <c r="R37" i="10"/>
  <c r="J38" i="10"/>
  <c r="J41" i="10"/>
  <c r="G35" i="10"/>
  <c r="C28" i="10"/>
  <c r="J42" i="10"/>
  <c r="R30" i="10"/>
  <c r="R39" i="10"/>
  <c r="R31" i="10"/>
  <c r="N44" i="1"/>
  <c r="N45" i="1"/>
  <c r="N42" i="1"/>
  <c r="C36" i="10"/>
  <c r="C34" i="10"/>
  <c r="J35" i="10"/>
  <c r="R38" i="10"/>
  <c r="R42" i="10"/>
  <c r="C35" i="10"/>
  <c r="G37" i="10"/>
  <c r="C30" i="10"/>
  <c r="E18" i="10"/>
  <c r="J40" i="10"/>
  <c r="R36" i="10"/>
  <c r="Q8" i="10"/>
  <c r="Q13" i="10"/>
  <c r="R40" i="10"/>
  <c r="R33" i="10"/>
  <c r="I26" i="3"/>
  <c r="M26" i="3"/>
  <c r="J26" i="3"/>
  <c r="K26" i="3"/>
  <c r="L26" i="3"/>
  <c r="Q21" i="10"/>
  <c r="E7" i="10"/>
  <c r="E12" i="10"/>
  <c r="E9" i="10"/>
  <c r="Q14" i="10"/>
  <c r="Q17" i="10"/>
  <c r="Q18" i="10"/>
  <c r="E17" i="10"/>
  <c r="Q20" i="10"/>
  <c r="H45" i="1"/>
  <c r="H42" i="1"/>
  <c r="H44" i="1"/>
  <c r="E20" i="10"/>
  <c r="Q12" i="10"/>
  <c r="Q16" i="10"/>
  <c r="Q11" i="10"/>
  <c r="B35" i="7"/>
  <c r="D34" i="7"/>
  <c r="B38" i="7"/>
  <c r="F36" i="7"/>
  <c r="F38" i="7"/>
  <c r="F34" i="7"/>
  <c r="D38" i="7"/>
  <c r="B37" i="7"/>
  <c r="E35" i="7"/>
  <c r="C38" i="7"/>
  <c r="C36" i="7"/>
  <c r="E34" i="7"/>
  <c r="C34" i="7"/>
  <c r="C35" i="7"/>
  <c r="E36" i="7"/>
  <c r="E38" i="7"/>
  <c r="F35" i="7"/>
  <c r="C37" i="7"/>
  <c r="D36" i="7"/>
  <c r="E37" i="7"/>
  <c r="F37" i="7"/>
  <c r="B34" i="7"/>
  <c r="D35" i="7"/>
  <c r="D37" i="7"/>
  <c r="B36" i="7"/>
  <c r="Q15" i="10"/>
  <c r="Q10" i="10"/>
  <c r="E19" i="10"/>
  <c r="E16" i="10"/>
  <c r="E14" i="10"/>
  <c r="E8" i="10"/>
  <c r="Q19" i="10"/>
  <c r="E13" i="10"/>
  <c r="J14" i="10"/>
  <c r="R15" i="10"/>
  <c r="R12" i="10"/>
  <c r="R11" i="10"/>
  <c r="R18" i="10"/>
  <c r="R9" i="10"/>
  <c r="R20" i="10"/>
  <c r="R19" i="10"/>
  <c r="R16" i="10"/>
  <c r="R17" i="10"/>
  <c r="R7" i="10"/>
  <c r="R13" i="10"/>
  <c r="R10" i="10"/>
  <c r="R21" i="10"/>
  <c r="R14" i="10"/>
  <c r="R8" i="10"/>
  <c r="E10" i="10"/>
  <c r="Q9" i="10"/>
  <c r="E21" i="10"/>
  <c r="Q7" i="10"/>
  <c r="E11" i="10"/>
  <c r="R32" i="2"/>
  <c r="E66" i="10"/>
  <c r="R39" i="2"/>
  <c r="R40" i="2"/>
  <c r="R42" i="2"/>
  <c r="R33" i="2"/>
  <c r="E6" i="8"/>
  <c r="E37" i="9"/>
  <c r="B36" i="9"/>
  <c r="E34" i="9"/>
  <c r="D37" i="9"/>
  <c r="D35" i="9"/>
  <c r="D38" i="9"/>
  <c r="F35" i="9"/>
  <c r="F37" i="9"/>
  <c r="C37" i="9"/>
  <c r="E36" i="9"/>
  <c r="C36" i="9"/>
  <c r="C35" i="9"/>
  <c r="B35" i="9"/>
  <c r="F34" i="9"/>
  <c r="B38" i="9"/>
  <c r="B37" i="9"/>
  <c r="D34" i="9"/>
  <c r="E35" i="9"/>
  <c r="F36" i="9"/>
  <c r="E38" i="9"/>
  <c r="F38" i="9"/>
  <c r="D36" i="9"/>
  <c r="C38" i="9"/>
  <c r="B34" i="9"/>
  <c r="C34" i="9"/>
  <c r="B6" i="9"/>
  <c r="B45" i="10"/>
  <c r="B39" i="2"/>
  <c r="B40" i="2"/>
  <c r="B42" i="2"/>
  <c r="B33" i="2"/>
  <c r="B32" i="2"/>
  <c r="B6" i="8"/>
  <c r="L39" i="2"/>
  <c r="L40" i="2"/>
  <c r="L42" i="2"/>
  <c r="L32" i="2"/>
  <c r="B66" i="10"/>
  <c r="L33" i="2"/>
  <c r="V45" i="1"/>
  <c r="V44" i="1"/>
  <c r="J37" i="7"/>
  <c r="K34" i="7"/>
  <c r="M37" i="7"/>
  <c r="I36" i="7"/>
  <c r="L35" i="7"/>
  <c r="I37" i="7"/>
  <c r="I35" i="7"/>
  <c r="K35" i="7"/>
  <c r="L38" i="7"/>
  <c r="J36" i="7"/>
  <c r="I34" i="7"/>
  <c r="L37" i="7"/>
  <c r="M34" i="7"/>
  <c r="I38" i="7"/>
  <c r="K37" i="7"/>
  <c r="J38" i="7"/>
  <c r="M36" i="7"/>
  <c r="M38" i="7"/>
  <c r="J34" i="7"/>
  <c r="J35" i="7"/>
  <c r="L34" i="7"/>
  <c r="L36" i="7"/>
  <c r="K38" i="7"/>
  <c r="M35" i="7"/>
  <c r="K36" i="7"/>
  <c r="C41" i="10"/>
  <c r="G38" i="10"/>
  <c r="C29" i="10"/>
  <c r="C39" i="10"/>
  <c r="G36" i="10"/>
  <c r="Q42" i="10"/>
  <c r="Q34" i="10"/>
  <c r="C32" i="10"/>
  <c r="G40" i="10"/>
  <c r="G39" i="10"/>
  <c r="C40" i="10"/>
  <c r="E37" i="10"/>
  <c r="Q28" i="10"/>
  <c r="L17" i="3"/>
  <c r="E28" i="10"/>
  <c r="Q38" i="10"/>
  <c r="Q37" i="10"/>
  <c r="E38" i="10"/>
  <c r="M14" i="3"/>
  <c r="K18" i="3"/>
  <c r="L18" i="3"/>
  <c r="Q30" i="10"/>
  <c r="Q33" i="10"/>
  <c r="C38" i="10"/>
  <c r="C42" i="10"/>
  <c r="E40" i="10"/>
  <c r="Q32" i="10"/>
  <c r="J17" i="3"/>
  <c r="E34" i="10"/>
  <c r="Q40" i="10"/>
  <c r="C33" i="10"/>
  <c r="C37" i="10"/>
  <c r="Q39" i="10"/>
  <c r="E41" i="10"/>
  <c r="Q41" i="10"/>
  <c r="I17" i="3"/>
  <c r="I15" i="3"/>
  <c r="J15" i="3"/>
  <c r="I18" i="3"/>
  <c r="Q35" i="10"/>
  <c r="L16" i="3"/>
  <c r="M17" i="3"/>
  <c r="M18" i="3"/>
  <c r="M15" i="3"/>
  <c r="L14" i="3"/>
  <c r="E42" i="10"/>
  <c r="E31" i="10"/>
  <c r="J16" i="3"/>
  <c r="C31" i="10"/>
  <c r="G41" i="10"/>
  <c r="E29" i="10"/>
  <c r="E35" i="10"/>
  <c r="J14" i="3"/>
  <c r="K15" i="3"/>
  <c r="E32" i="10"/>
  <c r="E36" i="10"/>
  <c r="K17" i="3"/>
  <c r="Q36" i="10"/>
  <c r="J18" i="3"/>
  <c r="M26" i="9"/>
  <c r="L26" i="9"/>
  <c r="I26" i="9"/>
  <c r="K26" i="9"/>
  <c r="R52" i="10"/>
  <c r="J57" i="10"/>
  <c r="D45" i="2"/>
  <c r="D46" i="2"/>
  <c r="H43" i="2"/>
  <c r="D43" i="2"/>
  <c r="H45" i="2"/>
  <c r="J63" i="10"/>
  <c r="R54" i="10"/>
  <c r="J49" i="10"/>
  <c r="R50" i="10"/>
  <c r="R62" i="10"/>
  <c r="J62" i="10"/>
  <c r="M27" i="3"/>
  <c r="G31" i="10"/>
  <c r="R56" i="10"/>
  <c r="J61" i="10"/>
  <c r="G34" i="10"/>
  <c r="J32" i="10"/>
  <c r="R55" i="10"/>
  <c r="J56" i="10"/>
  <c r="J29" i="10"/>
  <c r="G32" i="10"/>
  <c r="R51" i="10"/>
  <c r="J54" i="10"/>
  <c r="R58" i="10"/>
  <c r="R53" i="10"/>
  <c r="R59" i="10"/>
  <c r="R57" i="10"/>
  <c r="G33" i="10"/>
  <c r="J30" i="10"/>
  <c r="G30" i="10"/>
  <c r="R60" i="10"/>
  <c r="J50" i="10"/>
  <c r="R49" i="10"/>
  <c r="J59" i="10"/>
  <c r="J33" i="10"/>
  <c r="G28" i="10"/>
  <c r="R61" i="10"/>
  <c r="J58" i="10"/>
  <c r="R63" i="10"/>
  <c r="J52" i="10"/>
  <c r="G29" i="10"/>
  <c r="J31" i="10"/>
  <c r="J55" i="10"/>
  <c r="J60" i="10"/>
  <c r="J51" i="10"/>
  <c r="J53" i="10"/>
  <c r="J13" i="10"/>
  <c r="H16" i="10"/>
  <c r="G15" i="10"/>
  <c r="I28" i="3"/>
  <c r="H12" i="10"/>
  <c r="G13" i="10"/>
  <c r="L24" i="3"/>
  <c r="J24" i="3"/>
  <c r="I25" i="3"/>
  <c r="I24" i="3"/>
  <c r="L27" i="3"/>
  <c r="M24" i="3"/>
  <c r="K25" i="3"/>
  <c r="K28" i="3"/>
  <c r="M25" i="3"/>
  <c r="I27" i="3"/>
  <c r="M27" i="9"/>
  <c r="I27" i="9"/>
  <c r="K27" i="9"/>
  <c r="J27" i="9"/>
  <c r="L27" i="9"/>
  <c r="L25" i="9"/>
  <c r="K25" i="9"/>
  <c r="M25" i="9"/>
  <c r="I25" i="9"/>
  <c r="J25" i="9"/>
  <c r="K27" i="3"/>
  <c r="M28" i="3"/>
  <c r="M24" i="9"/>
  <c r="J24" i="9"/>
  <c r="L24" i="9"/>
  <c r="I24" i="9"/>
  <c r="K24" i="9"/>
  <c r="J25" i="3"/>
  <c r="J28" i="9"/>
  <c r="M28" i="9"/>
  <c r="L28" i="9"/>
  <c r="K28" i="9"/>
  <c r="I28" i="9"/>
  <c r="J28" i="3"/>
  <c r="N43" i="2"/>
  <c r="N46" i="2"/>
  <c r="N45" i="2"/>
  <c r="M27" i="8"/>
  <c r="I25" i="8"/>
  <c r="L24" i="8"/>
  <c r="K24" i="8"/>
  <c r="K26" i="8"/>
  <c r="M26" i="8"/>
  <c r="J27" i="8"/>
  <c r="M25" i="8"/>
  <c r="I28" i="8"/>
  <c r="M24" i="8"/>
  <c r="K27" i="8"/>
  <c r="M28" i="8"/>
  <c r="L26" i="8"/>
  <c r="J26" i="8"/>
  <c r="I26" i="8"/>
  <c r="L27" i="8"/>
  <c r="L25" i="8"/>
  <c r="K28" i="8"/>
  <c r="I24" i="8"/>
  <c r="J28" i="8"/>
  <c r="L28" i="8"/>
  <c r="I27" i="8"/>
  <c r="J25" i="8"/>
  <c r="J24" i="8"/>
  <c r="K25" i="8"/>
  <c r="R45" i="2"/>
  <c r="R46" i="2"/>
  <c r="R43" i="2"/>
  <c r="D35" i="8"/>
  <c r="C37" i="8"/>
  <c r="D38" i="8"/>
  <c r="F34" i="8"/>
  <c r="D37" i="8"/>
  <c r="E34" i="8"/>
  <c r="F37" i="8"/>
  <c r="F35" i="8"/>
  <c r="E36" i="8"/>
  <c r="B36" i="8"/>
  <c r="B34" i="8"/>
  <c r="B35" i="8"/>
  <c r="F36" i="8"/>
  <c r="E37" i="8"/>
  <c r="C36" i="8"/>
  <c r="F38" i="8"/>
  <c r="C34" i="8"/>
  <c r="B38" i="8"/>
  <c r="C35" i="8"/>
  <c r="E38" i="8"/>
  <c r="B37" i="8"/>
  <c r="C38" i="8"/>
  <c r="E35" i="8"/>
  <c r="D34" i="8"/>
  <c r="D36" i="8"/>
  <c r="R82" i="10"/>
  <c r="R79" i="10"/>
  <c r="J75" i="10"/>
  <c r="J78" i="10"/>
  <c r="J82" i="10"/>
  <c r="J77" i="10"/>
  <c r="R76" i="10"/>
  <c r="J71" i="10"/>
  <c r="R75" i="10"/>
  <c r="R80" i="10"/>
  <c r="R72" i="10"/>
  <c r="R84" i="10"/>
  <c r="R77" i="10"/>
  <c r="R78" i="10"/>
  <c r="R71" i="10"/>
  <c r="J80" i="10"/>
  <c r="J70" i="10"/>
  <c r="J72" i="10"/>
  <c r="J79" i="10"/>
  <c r="R81" i="10"/>
  <c r="R83" i="10"/>
  <c r="J83" i="10"/>
  <c r="R73" i="10"/>
  <c r="R74" i="10"/>
  <c r="J81" i="10"/>
  <c r="J74" i="10"/>
  <c r="R70" i="10"/>
  <c r="J76" i="10"/>
  <c r="J84" i="10"/>
  <c r="J73" i="10"/>
  <c r="L43" i="2"/>
  <c r="L46" i="2"/>
  <c r="L45" i="2"/>
  <c r="L15" i="8"/>
  <c r="M17" i="8"/>
  <c r="M14" i="8"/>
  <c r="I15" i="8"/>
  <c r="J17" i="8"/>
  <c r="K18" i="8"/>
  <c r="I14" i="8"/>
  <c r="K17" i="8"/>
  <c r="J18" i="8"/>
  <c r="K15" i="8"/>
  <c r="I16" i="8"/>
  <c r="M18" i="8"/>
  <c r="L16" i="8"/>
  <c r="M16" i="8"/>
  <c r="J15" i="8"/>
  <c r="I17" i="8"/>
  <c r="K16" i="8"/>
  <c r="L17" i="8"/>
  <c r="M15" i="8"/>
  <c r="L18" i="8"/>
  <c r="K14" i="8"/>
  <c r="L14" i="8"/>
  <c r="J16" i="8"/>
  <c r="J14" i="8"/>
  <c r="I18" i="8"/>
  <c r="B43" i="2"/>
  <c r="B45" i="2"/>
  <c r="B46" i="2"/>
  <c r="E54" i="10"/>
  <c r="E60" i="10"/>
  <c r="E58" i="10"/>
  <c r="C54" i="10"/>
  <c r="G61" i="10"/>
  <c r="E57" i="10"/>
  <c r="E56" i="10"/>
  <c r="Q55" i="10"/>
  <c r="E59" i="10"/>
  <c r="Q58" i="10"/>
  <c r="Q54" i="10"/>
  <c r="Q57" i="10"/>
  <c r="E55" i="10"/>
  <c r="G59" i="10"/>
  <c r="C56" i="10"/>
  <c r="C51" i="10"/>
  <c r="Q62" i="10"/>
  <c r="E50" i="10"/>
  <c r="C60" i="10"/>
  <c r="C63" i="10"/>
  <c r="C61" i="10"/>
  <c r="Q49" i="10"/>
  <c r="Q53" i="10"/>
  <c r="G53" i="10"/>
  <c r="G50" i="10"/>
  <c r="G56" i="10"/>
  <c r="E61" i="10"/>
  <c r="Q63" i="10"/>
  <c r="Q59" i="10"/>
  <c r="C59" i="10"/>
  <c r="G60" i="10"/>
  <c r="C57" i="10"/>
  <c r="E51" i="10"/>
  <c r="E49" i="10"/>
  <c r="E52" i="10"/>
  <c r="G58" i="10"/>
  <c r="E63" i="10"/>
  <c r="G57" i="10"/>
  <c r="E62" i="10"/>
  <c r="C52" i="10"/>
  <c r="G63" i="10"/>
  <c r="G51" i="10"/>
  <c r="G62" i="10"/>
  <c r="Q52" i="10"/>
  <c r="G54" i="10"/>
  <c r="Q51" i="10"/>
  <c r="C50" i="10"/>
  <c r="E53" i="10"/>
  <c r="G55" i="10"/>
  <c r="C53" i="10"/>
  <c r="C62" i="10"/>
  <c r="C49" i="10"/>
  <c r="Q56" i="10"/>
  <c r="Q60" i="10"/>
  <c r="Q61" i="10"/>
  <c r="C58" i="10"/>
  <c r="C55" i="10"/>
  <c r="G52" i="10"/>
  <c r="Q50" i="10"/>
  <c r="G49" i="10"/>
  <c r="G79" i="10"/>
  <c r="G77" i="10"/>
  <c r="C74" i="10"/>
  <c r="G76" i="10"/>
  <c r="E77" i="10"/>
  <c r="E78" i="10"/>
  <c r="G71" i="10"/>
  <c r="C81" i="10"/>
  <c r="Q82" i="10"/>
  <c r="Q84" i="10"/>
  <c r="G82" i="10"/>
  <c r="G83" i="10"/>
  <c r="C78" i="10"/>
  <c r="G75" i="10"/>
  <c r="Q74" i="10"/>
  <c r="C75" i="10"/>
  <c r="G74" i="10"/>
  <c r="G84" i="10"/>
  <c r="E79" i="10"/>
  <c r="E81" i="10"/>
  <c r="Q78" i="10"/>
  <c r="G72" i="10"/>
  <c r="C79" i="10"/>
  <c r="C80" i="10"/>
  <c r="Q73" i="10"/>
  <c r="Q75" i="10"/>
  <c r="E74" i="10"/>
  <c r="E73" i="10"/>
  <c r="G80" i="10"/>
  <c r="G73" i="10"/>
  <c r="C76" i="10"/>
  <c r="Q83" i="10"/>
  <c r="Q79" i="10"/>
  <c r="C84" i="10"/>
  <c r="G81" i="10"/>
  <c r="E82" i="10"/>
  <c r="Q71" i="10"/>
  <c r="Q72" i="10"/>
  <c r="E75" i="10"/>
  <c r="C82" i="10"/>
  <c r="E83" i="10"/>
  <c r="G78" i="10"/>
  <c r="E70" i="10"/>
  <c r="C77" i="10"/>
  <c r="E80" i="10"/>
  <c r="E76" i="10"/>
  <c r="Q70" i="10"/>
  <c r="C70" i="10"/>
  <c r="C73" i="10"/>
  <c r="E84" i="10"/>
  <c r="E71" i="10"/>
  <c r="Q81" i="10"/>
  <c r="C72" i="10"/>
  <c r="G70" i="10"/>
  <c r="Q76" i="10"/>
  <c r="Q80" i="10"/>
  <c r="C83" i="10"/>
  <c r="C71" i="10"/>
  <c r="E72" i="10"/>
  <c r="Q77" i="10"/>
  <c r="I15" i="9"/>
  <c r="K17" i="9"/>
  <c r="K14" i="9"/>
  <c r="I16" i="9"/>
  <c r="J14" i="9"/>
  <c r="M16" i="9"/>
  <c r="L14" i="9"/>
  <c r="L16" i="9"/>
  <c r="M17" i="9"/>
  <c r="M14" i="9"/>
  <c r="J18" i="9"/>
  <c r="I17" i="9"/>
  <c r="J16" i="9"/>
  <c r="J15" i="9"/>
  <c r="L18" i="9"/>
  <c r="K16" i="9"/>
  <c r="L17" i="9"/>
  <c r="K18" i="9"/>
  <c r="L15" i="9"/>
  <c r="I14" i="9"/>
  <c r="M18" i="9"/>
  <c r="K15" i="9"/>
  <c r="J17" i="9"/>
  <c r="I18" i="9"/>
  <c r="M15" i="9"/>
  <c r="H11" i="10"/>
  <c r="G12" i="10"/>
  <c r="J12" i="10"/>
  <c r="H17" i="10"/>
  <c r="G16" i="10"/>
  <c r="J16" i="10"/>
  <c r="H10" i="10"/>
  <c r="J11" i="10"/>
  <c r="G11" i="10"/>
  <c r="H18" i="10"/>
  <c r="G17" i="10"/>
  <c r="J17" i="10"/>
  <c r="H9" i="10"/>
  <c r="G10" i="10"/>
  <c r="J10" i="10"/>
  <c r="H19" i="10"/>
  <c r="G18" i="10"/>
  <c r="J18" i="10"/>
  <c r="H8" i="10"/>
  <c r="G9" i="10"/>
  <c r="J9" i="10"/>
  <c r="H20" i="10"/>
  <c r="J19" i="10"/>
  <c r="G19" i="10"/>
  <c r="H7" i="10"/>
  <c r="G8" i="10"/>
  <c r="J8" i="10"/>
  <c r="H21" i="10"/>
  <c r="J20" i="10"/>
  <c r="G20" i="10"/>
  <c r="G7" i="10"/>
  <c r="J7" i="10"/>
  <c r="G21" i="10"/>
  <c r="J21" i="10"/>
  <c r="J39" i="2"/>
  <c r="J40" i="2"/>
  <c r="J42" i="2"/>
  <c r="J33" i="2"/>
  <c r="J32" i="2"/>
  <c r="F6" i="9"/>
  <c r="T33" i="2"/>
  <c r="F6" i="8"/>
  <c r="T32" i="2"/>
  <c r="T39" i="2"/>
  <c r="T40" i="2"/>
  <c r="T42" i="2"/>
  <c r="J38" i="1"/>
  <c r="J39" i="1"/>
  <c r="J41" i="1"/>
  <c r="J44" i="1"/>
  <c r="F6" i="3"/>
  <c r="T32" i="1"/>
  <c r="T31" i="1"/>
  <c r="T38" i="1"/>
  <c r="T39" i="1"/>
  <c r="T41" i="1"/>
  <c r="J32" i="1"/>
  <c r="J31" i="1"/>
  <c r="E25" i="7"/>
  <c r="C27" i="7"/>
  <c r="B24" i="7"/>
  <c r="D27" i="7"/>
  <c r="E27" i="7"/>
  <c r="E24" i="7"/>
  <c r="D26" i="7"/>
  <c r="D28" i="7"/>
  <c r="B27" i="7"/>
  <c r="F24" i="7"/>
  <c r="B28" i="7"/>
  <c r="B25" i="7"/>
  <c r="C28" i="7"/>
  <c r="C26" i="7"/>
  <c r="D24" i="7"/>
  <c r="C25" i="7"/>
  <c r="F28" i="7"/>
  <c r="B26" i="7"/>
  <c r="E28" i="7"/>
  <c r="C24" i="7"/>
  <c r="F26" i="7"/>
  <c r="F27" i="7"/>
  <c r="E26" i="7"/>
  <c r="D25" i="7"/>
  <c r="F25" i="7"/>
  <c r="P33" i="2"/>
  <c r="D6" i="8"/>
  <c r="P32" i="2"/>
  <c r="P39" i="2"/>
  <c r="P40" i="2"/>
  <c r="P42" i="2"/>
  <c r="D66" i="10"/>
  <c r="F32" i="2"/>
  <c r="F33" i="2"/>
  <c r="D45" i="10"/>
  <c r="D6" i="9"/>
  <c r="F39" i="2"/>
  <c r="F40" i="2"/>
  <c r="F42" i="2"/>
  <c r="F31" i="1"/>
  <c r="F38" i="1"/>
  <c r="F39" i="1"/>
  <c r="F41" i="1"/>
  <c r="F45" i="1"/>
  <c r="D6" i="7"/>
  <c r="C15" i="7"/>
  <c r="D3" i="10"/>
  <c r="P32" i="1"/>
  <c r="P38" i="1"/>
  <c r="P39" i="1"/>
  <c r="P41" i="1"/>
  <c r="P31" i="1"/>
  <c r="D24" i="10"/>
  <c r="D6" i="3"/>
  <c r="J42" i="1"/>
  <c r="J45" i="1"/>
  <c r="D26" i="9"/>
  <c r="F24" i="9"/>
  <c r="F28" i="9"/>
  <c r="B28" i="9"/>
  <c r="D25" i="9"/>
  <c r="F26" i="9"/>
  <c r="E26" i="9"/>
  <c r="F27" i="9"/>
  <c r="C25" i="9"/>
  <c r="B26" i="9"/>
  <c r="E25" i="9"/>
  <c r="B25" i="9"/>
  <c r="D28" i="9"/>
  <c r="C24" i="9"/>
  <c r="E24" i="9"/>
  <c r="B27" i="9"/>
  <c r="D24" i="9"/>
  <c r="C26" i="9"/>
  <c r="E27" i="9"/>
  <c r="B24" i="9"/>
  <c r="D27" i="9"/>
  <c r="C27" i="9"/>
  <c r="F25" i="9"/>
  <c r="C28" i="9"/>
  <c r="E28" i="9"/>
  <c r="J46" i="2"/>
  <c r="J45" i="2"/>
  <c r="J43" i="2"/>
  <c r="T45" i="2"/>
  <c r="T46" i="2"/>
  <c r="T43" i="2"/>
  <c r="F26" i="8"/>
  <c r="F25" i="8"/>
  <c r="D28" i="8"/>
  <c r="D27" i="8"/>
  <c r="E25" i="8"/>
  <c r="F27" i="8"/>
  <c r="B26" i="8"/>
  <c r="E27" i="8"/>
  <c r="B27" i="8"/>
  <c r="D24" i="8"/>
  <c r="E28" i="8"/>
  <c r="C28" i="8"/>
  <c r="B24" i="8"/>
  <c r="F24" i="8"/>
  <c r="C26" i="8"/>
  <c r="F28" i="8"/>
  <c r="D26" i="8"/>
  <c r="E26" i="8"/>
  <c r="E24" i="8"/>
  <c r="C25" i="8"/>
  <c r="B28" i="8"/>
  <c r="D25" i="8"/>
  <c r="B25" i="8"/>
  <c r="C27" i="8"/>
  <c r="C24" i="8"/>
  <c r="T44" i="1"/>
  <c r="T45" i="1"/>
  <c r="T42" i="1"/>
  <c r="C26" i="3"/>
  <c r="B26" i="3"/>
  <c r="E26" i="3"/>
  <c r="D28" i="3"/>
  <c r="C27" i="3"/>
  <c r="E24" i="3"/>
  <c r="D25" i="3"/>
  <c r="C24" i="3"/>
  <c r="D24" i="3"/>
  <c r="B28" i="3"/>
  <c r="E28" i="3"/>
  <c r="B27" i="3"/>
  <c r="C28" i="3"/>
  <c r="C25" i="3"/>
  <c r="D27" i="3"/>
  <c r="F24" i="3"/>
  <c r="E25" i="3"/>
  <c r="F26" i="3"/>
  <c r="F25" i="3"/>
  <c r="F28" i="3"/>
  <c r="B24" i="3"/>
  <c r="D26" i="3"/>
  <c r="B25" i="3"/>
  <c r="E27" i="3"/>
  <c r="F27" i="3"/>
  <c r="M78" i="10"/>
  <c r="S75" i="10"/>
  <c r="M81" i="10"/>
  <c r="I72" i="10"/>
  <c r="S78" i="10"/>
  <c r="S80" i="10"/>
  <c r="L73" i="10"/>
  <c r="S76" i="10"/>
  <c r="L72" i="10"/>
  <c r="I80" i="10"/>
  <c r="D81" i="10"/>
  <c r="S84" i="10"/>
  <c r="S82" i="10"/>
  <c r="I84" i="10"/>
  <c r="I79" i="10"/>
  <c r="S71" i="10"/>
  <c r="O82" i="10"/>
  <c r="L84" i="10"/>
  <c r="I71" i="10"/>
  <c r="I70" i="10"/>
  <c r="O72" i="10"/>
  <c r="I77" i="10"/>
  <c r="S77" i="10"/>
  <c r="I82" i="10"/>
  <c r="I83" i="10"/>
  <c r="M82" i="10"/>
  <c r="M73" i="10"/>
  <c r="M70" i="10"/>
  <c r="O80" i="10"/>
  <c r="O79" i="10"/>
  <c r="D78" i="10"/>
  <c r="D84" i="10"/>
  <c r="D73" i="10"/>
  <c r="M75" i="10"/>
  <c r="M76" i="10"/>
  <c r="I78" i="10"/>
  <c r="S79" i="10"/>
  <c r="M83" i="10"/>
  <c r="S70" i="10"/>
  <c r="O74" i="10"/>
  <c r="O76" i="10"/>
  <c r="O75" i="10"/>
  <c r="D77" i="10"/>
  <c r="D82" i="10"/>
  <c r="M77" i="10"/>
  <c r="M79" i="10"/>
  <c r="L82" i="10"/>
  <c r="O71" i="10"/>
  <c r="D79" i="10"/>
  <c r="L81" i="10"/>
  <c r="O78" i="10"/>
  <c r="L77" i="10"/>
  <c r="L70" i="10"/>
  <c r="S74" i="10"/>
  <c r="D76" i="10"/>
  <c r="D70" i="10"/>
  <c r="L74" i="10"/>
  <c r="I73" i="10"/>
  <c r="S81" i="10"/>
  <c r="M74" i="10"/>
  <c r="O77" i="10"/>
  <c r="D80" i="10"/>
  <c r="M80" i="10"/>
  <c r="S73" i="10"/>
  <c r="L79" i="10"/>
  <c r="O73" i="10"/>
  <c r="O84" i="10"/>
  <c r="O83" i="10"/>
  <c r="O81" i="10"/>
  <c r="M72" i="10"/>
  <c r="S72" i="10"/>
  <c r="D75" i="10"/>
  <c r="D83" i="10"/>
  <c r="D71" i="10"/>
  <c r="D72" i="10"/>
  <c r="L76" i="10"/>
  <c r="L80" i="10"/>
  <c r="L75" i="10"/>
  <c r="M84" i="10"/>
  <c r="M71" i="10"/>
  <c r="D74" i="10"/>
  <c r="I75" i="10"/>
  <c r="I74" i="10"/>
  <c r="L83" i="10"/>
  <c r="S83" i="10"/>
  <c r="L78" i="10"/>
  <c r="I76" i="10"/>
  <c r="I81" i="10"/>
  <c r="O70" i="10"/>
  <c r="L71" i="10"/>
  <c r="P46" i="2"/>
  <c r="P45" i="2"/>
  <c r="P43" i="2"/>
  <c r="C16" i="8"/>
  <c r="C14" i="8"/>
  <c r="E15" i="8"/>
  <c r="B16" i="8"/>
  <c r="B18" i="8"/>
  <c r="D14" i="8"/>
  <c r="F16" i="8"/>
  <c r="E18" i="8"/>
  <c r="E17" i="8"/>
  <c r="E16" i="8"/>
  <c r="F17" i="8"/>
  <c r="B15" i="8"/>
  <c r="C18" i="8"/>
  <c r="B14" i="8"/>
  <c r="D16" i="8"/>
  <c r="F15" i="8"/>
  <c r="E14" i="8"/>
  <c r="F14" i="8"/>
  <c r="D18" i="8"/>
  <c r="F18" i="8"/>
  <c r="B17" i="8"/>
  <c r="D17" i="8"/>
  <c r="C15" i="8"/>
  <c r="D15" i="8"/>
  <c r="C17" i="8"/>
  <c r="F16" i="9"/>
  <c r="C17" i="9"/>
  <c r="D14" i="9"/>
  <c r="C15" i="9"/>
  <c r="B15" i="9"/>
  <c r="B18" i="9"/>
  <c r="D15" i="9"/>
  <c r="F15" i="9"/>
  <c r="E15" i="9"/>
  <c r="D17" i="9"/>
  <c r="E14" i="9"/>
  <c r="E17" i="9"/>
  <c r="F17" i="9"/>
  <c r="C14" i="9"/>
  <c r="C16" i="9"/>
  <c r="D16" i="9"/>
  <c r="B17" i="9"/>
  <c r="B16" i="9"/>
  <c r="F14" i="9"/>
  <c r="F18" i="9"/>
  <c r="B14" i="9"/>
  <c r="C18" i="9"/>
  <c r="E18" i="9"/>
  <c r="E16" i="9"/>
  <c r="D18" i="9"/>
  <c r="O59" i="10"/>
  <c r="O57" i="10"/>
  <c r="I49" i="10"/>
  <c r="O63" i="10"/>
  <c r="S58" i="10"/>
  <c r="S60" i="10"/>
  <c r="O61" i="10"/>
  <c r="S62" i="10"/>
  <c r="S49" i="10"/>
  <c r="D60" i="10"/>
  <c r="D56" i="10"/>
  <c r="S51" i="10"/>
  <c r="O53" i="10"/>
  <c r="S55" i="10"/>
  <c r="D49" i="10"/>
  <c r="L54" i="10"/>
  <c r="O58" i="10"/>
  <c r="I50" i="10"/>
  <c r="L56" i="10"/>
  <c r="I57" i="10"/>
  <c r="I58" i="10"/>
  <c r="L53" i="10"/>
  <c r="I60" i="10"/>
  <c r="I53" i="10"/>
  <c r="D58" i="10"/>
  <c r="D57" i="10"/>
  <c r="S56" i="10"/>
  <c r="L50" i="10"/>
  <c r="M51" i="10"/>
  <c r="M52" i="10"/>
  <c r="M60" i="10"/>
  <c r="O60" i="10"/>
  <c r="M49" i="10"/>
  <c r="D62" i="10"/>
  <c r="I52" i="10"/>
  <c r="L52" i="10"/>
  <c r="I56" i="10"/>
  <c r="O56" i="10"/>
  <c r="S61" i="10"/>
  <c r="O55" i="10"/>
  <c r="I55" i="10"/>
  <c r="I51" i="10"/>
  <c r="M56" i="10"/>
  <c r="I54" i="10"/>
  <c r="S59" i="10"/>
  <c r="O49" i="10"/>
  <c r="O50" i="10"/>
  <c r="D55" i="10"/>
  <c r="O54" i="10"/>
  <c r="M62" i="10"/>
  <c r="S50" i="10"/>
  <c r="D51" i="10"/>
  <c r="L58" i="10"/>
  <c r="L59" i="10"/>
  <c r="I61" i="10"/>
  <c r="L55" i="10"/>
  <c r="O52" i="10"/>
  <c r="L51" i="10"/>
  <c r="L49" i="10"/>
  <c r="I62" i="10"/>
  <c r="L63" i="10"/>
  <c r="M61" i="10"/>
  <c r="S53" i="10"/>
  <c r="M54" i="10"/>
  <c r="M58" i="10"/>
  <c r="D59" i="10"/>
  <c r="L57" i="10"/>
  <c r="S57" i="10"/>
  <c r="M50" i="10"/>
  <c r="S63" i="10"/>
  <c r="L62" i="10"/>
  <c r="S54" i="10"/>
  <c r="M53" i="10"/>
  <c r="S52" i="10"/>
  <c r="M59" i="10"/>
  <c r="D53" i="10"/>
  <c r="D61" i="10"/>
  <c r="D63" i="10"/>
  <c r="D50" i="10"/>
  <c r="O51" i="10"/>
  <c r="M63" i="10"/>
  <c r="M55" i="10"/>
  <c r="M57" i="10"/>
  <c r="L61" i="10"/>
  <c r="I63" i="10"/>
  <c r="D54" i="10"/>
  <c r="O62" i="10"/>
  <c r="L60" i="10"/>
  <c r="I59" i="10"/>
  <c r="D52" i="10"/>
  <c r="F45" i="2"/>
  <c r="F43" i="2"/>
  <c r="F46" i="2"/>
  <c r="E15" i="7"/>
  <c r="F15" i="7"/>
  <c r="F17" i="7"/>
  <c r="E17" i="7"/>
  <c r="F42" i="1"/>
  <c r="F44" i="1"/>
  <c r="B17" i="7"/>
  <c r="C18" i="7"/>
  <c r="F14" i="7"/>
  <c r="B16" i="7"/>
  <c r="F16" i="7"/>
  <c r="E14" i="7"/>
  <c r="F18" i="7"/>
  <c r="D15" i="7"/>
  <c r="D18" i="7"/>
  <c r="B14" i="7"/>
  <c r="B15" i="7"/>
  <c r="D16" i="7"/>
  <c r="D17" i="7"/>
  <c r="E16" i="7"/>
  <c r="C16" i="7"/>
  <c r="C14" i="7"/>
  <c r="C17" i="7"/>
  <c r="D14" i="7"/>
  <c r="E18" i="7"/>
  <c r="B18" i="7"/>
  <c r="L16" i="10"/>
  <c r="L17" i="10"/>
  <c r="D7" i="10"/>
  <c r="D18" i="10"/>
  <c r="O10" i="10"/>
  <c r="O20" i="10"/>
  <c r="M9" i="10"/>
  <c r="S21" i="10"/>
  <c r="S10" i="10"/>
  <c r="O16" i="10"/>
  <c r="I7" i="10"/>
  <c r="L8" i="10"/>
  <c r="S13" i="10"/>
  <c r="O11" i="10"/>
  <c r="L9" i="10"/>
  <c r="M11" i="10"/>
  <c r="M16" i="10"/>
  <c r="D9" i="10"/>
  <c r="M12" i="10"/>
  <c r="L13" i="10"/>
  <c r="D10" i="10"/>
  <c r="M15" i="10"/>
  <c r="S7" i="10"/>
  <c r="S8" i="10"/>
  <c r="S17" i="10"/>
  <c r="O9" i="10"/>
  <c r="S20" i="10"/>
  <c r="I15" i="10"/>
  <c r="I12" i="10"/>
  <c r="I11" i="10"/>
  <c r="I13" i="10"/>
  <c r="I20" i="10"/>
  <c r="L19" i="10"/>
  <c r="O8" i="10"/>
  <c r="O21" i="10"/>
  <c r="L21" i="10"/>
  <c r="M19" i="10"/>
  <c r="L15" i="10"/>
  <c r="D17" i="10"/>
  <c r="L14" i="10"/>
  <c r="M8" i="10"/>
  <c r="O14" i="10"/>
  <c r="O15" i="10"/>
  <c r="S19" i="10"/>
  <c r="M20" i="10"/>
  <c r="M17" i="10"/>
  <c r="I10" i="10"/>
  <c r="I9" i="10"/>
  <c r="I8" i="10"/>
  <c r="L18" i="10"/>
  <c r="O12" i="10"/>
  <c r="O13" i="10"/>
  <c r="I17" i="10"/>
  <c r="D19" i="10"/>
  <c r="D15" i="10"/>
  <c r="L7" i="10"/>
  <c r="M21" i="10"/>
  <c r="I16" i="10"/>
  <c r="D8" i="10"/>
  <c r="L10" i="10"/>
  <c r="S12" i="10"/>
  <c r="O17" i="10"/>
  <c r="M18" i="10"/>
  <c r="S11" i="10"/>
  <c r="M14" i="10"/>
  <c r="M10" i="10"/>
  <c r="I19" i="10"/>
  <c r="I21" i="10"/>
  <c r="D16" i="10"/>
  <c r="L20" i="10"/>
  <c r="L11" i="10"/>
  <c r="D12" i="10"/>
  <c r="D14" i="10"/>
  <c r="S9" i="10"/>
  <c r="S18" i="10"/>
  <c r="O18" i="10"/>
  <c r="I14" i="10"/>
  <c r="O19" i="10"/>
  <c r="S16" i="10"/>
  <c r="O7" i="10"/>
  <c r="D11" i="10"/>
  <c r="D13" i="10"/>
  <c r="M7" i="10"/>
  <c r="M13" i="10"/>
  <c r="I18" i="10"/>
  <c r="D21" i="10"/>
  <c r="D20" i="10"/>
  <c r="L12" i="10"/>
  <c r="S15" i="10"/>
  <c r="S14" i="10"/>
  <c r="P45" i="1"/>
  <c r="P44" i="1"/>
  <c r="P42" i="1"/>
  <c r="L39" i="10"/>
  <c r="O31" i="10"/>
  <c r="M39" i="10"/>
  <c r="L35" i="10"/>
  <c r="M33" i="10"/>
  <c r="I40" i="10"/>
  <c r="L29" i="10"/>
  <c r="D31" i="10"/>
  <c r="D38" i="10"/>
  <c r="D36" i="10"/>
  <c r="L30" i="10"/>
  <c r="I28" i="10"/>
  <c r="I29" i="10"/>
  <c r="O38" i="10"/>
  <c r="S42" i="10"/>
  <c r="I30" i="10"/>
  <c r="O30" i="10"/>
  <c r="D32" i="10"/>
  <c r="M34" i="10"/>
  <c r="O41" i="10"/>
  <c r="L33" i="10"/>
  <c r="L38" i="10"/>
  <c r="L32" i="10"/>
  <c r="M29" i="10"/>
  <c r="M30" i="10"/>
  <c r="D34" i="10"/>
  <c r="L41" i="10"/>
  <c r="I33" i="10"/>
  <c r="S38" i="10"/>
  <c r="I38" i="10"/>
  <c r="M32" i="10"/>
  <c r="M42" i="10"/>
  <c r="M37" i="10"/>
  <c r="I35" i="10"/>
  <c r="S41" i="10"/>
  <c r="D33" i="10"/>
  <c r="D30" i="10"/>
  <c r="D28" i="10"/>
  <c r="O40" i="10"/>
  <c r="M40" i="10"/>
  <c r="I31" i="10"/>
  <c r="I36" i="10"/>
  <c r="S28" i="10"/>
  <c r="M28" i="10"/>
  <c r="S37" i="10"/>
  <c r="O29" i="10"/>
  <c r="O34" i="10"/>
  <c r="M41" i="10"/>
  <c r="D42" i="10"/>
  <c r="D41" i="10"/>
  <c r="S35" i="10"/>
  <c r="S34" i="10"/>
  <c r="I41" i="10"/>
  <c r="O35" i="10"/>
  <c r="O39" i="10"/>
  <c r="L34" i="10"/>
  <c r="D29" i="10"/>
  <c r="M38" i="10"/>
  <c r="L31" i="10"/>
  <c r="D40" i="10"/>
  <c r="O36" i="10"/>
  <c r="O28" i="10"/>
  <c r="L42" i="10"/>
  <c r="I39" i="10"/>
  <c r="O32" i="10"/>
  <c r="L28" i="10"/>
  <c r="I32" i="10"/>
  <c r="S40" i="10"/>
  <c r="S39" i="10"/>
  <c r="O33" i="10"/>
  <c r="M36" i="10"/>
  <c r="M31" i="10"/>
  <c r="S31" i="10"/>
  <c r="O42" i="10"/>
  <c r="S30" i="10"/>
  <c r="S36" i="10"/>
  <c r="O37" i="10"/>
  <c r="D37" i="10"/>
  <c r="D39" i="10"/>
  <c r="D35" i="10"/>
  <c r="I34" i="10"/>
  <c r="I42" i="10"/>
  <c r="S29" i="10"/>
  <c r="S32" i="10"/>
  <c r="S33" i="10"/>
  <c r="L37" i="10"/>
  <c r="M35" i="10"/>
  <c r="L36" i="10"/>
  <c r="I37" i="10"/>
  <c r="L40" i="10"/>
  <c r="D16" i="3"/>
  <c r="E18" i="3"/>
  <c r="E17" i="3"/>
  <c r="B15" i="3"/>
  <c r="B17" i="3"/>
  <c r="D15" i="3"/>
  <c r="B18" i="3"/>
  <c r="C15" i="3"/>
  <c r="E16" i="3"/>
  <c r="D17" i="3"/>
  <c r="F15" i="3"/>
  <c r="E15" i="3"/>
  <c r="B16" i="3"/>
  <c r="C18" i="3"/>
  <c r="E14" i="3"/>
  <c r="F14" i="3"/>
  <c r="F17" i="3"/>
  <c r="F18" i="3"/>
  <c r="C17" i="3"/>
  <c r="C16" i="3"/>
  <c r="D14" i="3"/>
  <c r="B14" i="3"/>
  <c r="F16" i="3"/>
  <c r="D18" i="3"/>
  <c r="C14" i="3"/>
</calcChain>
</file>

<file path=xl/sharedStrings.xml><?xml version="1.0" encoding="utf-8"?>
<sst xmlns="http://schemas.openxmlformats.org/spreadsheetml/2006/main" count="791" uniqueCount="194">
  <si>
    <t>IRRIGATED</t>
  </si>
  <si>
    <t>NON-IRRIGATED</t>
  </si>
  <si>
    <t>Cotton</t>
  </si>
  <si>
    <t>Peanuts</t>
  </si>
  <si>
    <t>Corn</t>
  </si>
  <si>
    <t>Soybeans</t>
  </si>
  <si>
    <t>Sorghum</t>
  </si>
  <si>
    <t>Wheat</t>
  </si>
  <si>
    <t>BWEP</t>
  </si>
  <si>
    <t>Chemicals</t>
  </si>
  <si>
    <t>Scouting</t>
  </si>
  <si>
    <t>Repairs and Maintenance</t>
  </si>
  <si>
    <t>Irrigation</t>
  </si>
  <si>
    <t>Labor</t>
  </si>
  <si>
    <t>Insurance</t>
  </si>
  <si>
    <t>Drying and Cleaning</t>
  </si>
  <si>
    <t>Other</t>
  </si>
  <si>
    <t>Interest on Operating Capital</t>
  </si>
  <si>
    <t>Marketing and Fees</t>
  </si>
  <si>
    <t>Machinery and Equipment</t>
  </si>
  <si>
    <t>Buildings</t>
  </si>
  <si>
    <t>Miscellaneous Overhead</t>
  </si>
  <si>
    <t>Int Mgmt</t>
  </si>
  <si>
    <t>Grain</t>
  </si>
  <si>
    <t xml:space="preserve">Seed </t>
  </si>
  <si>
    <t>Conventional Tillage</t>
  </si>
  <si>
    <t>Strip-Tillage</t>
  </si>
  <si>
    <t>Fertilizer &amp; Lime*</t>
  </si>
  <si>
    <t>Fuel and Lube**</t>
  </si>
  <si>
    <t>Irrigation***</t>
  </si>
  <si>
    <t>Cover Crop Seed*</t>
  </si>
  <si>
    <t>Fertilizer &amp; Lime**</t>
  </si>
  <si>
    <t>Fuel and Lube***</t>
  </si>
  <si>
    <t>Irrigation****</t>
  </si>
  <si>
    <t>BREAKEVEN PRICE (Total Costs)</t>
  </si>
  <si>
    <t>By A.R. Smith, N.B. Smith and W.D. Shurley, UGA Extension Economists, Department of Agricultural &amp; Applied Economics</t>
  </si>
  <si>
    <t>NET RETURNS ABOVE VARIABLE COSTS PER ACRE</t>
  </si>
  <si>
    <t>Average</t>
  </si>
  <si>
    <t>+10%</t>
  </si>
  <si>
    <t>+25%</t>
  </si>
  <si>
    <t>Crop</t>
  </si>
  <si>
    <t>Yield</t>
  </si>
  <si>
    <t>Price</t>
  </si>
  <si>
    <t>TVC</t>
  </si>
  <si>
    <t>Revenue</t>
  </si>
  <si>
    <t>Irrigated</t>
  </si>
  <si>
    <t>Non-irrigated</t>
  </si>
  <si>
    <t>Irrigated Corn</t>
  </si>
  <si>
    <t>Irrigated Grain Sorghum</t>
  </si>
  <si>
    <t>Irrigated Soybeans</t>
  </si>
  <si>
    <t>Irrigated Cotton</t>
  </si>
  <si>
    <t>Dryland Corn</t>
  </si>
  <si>
    <t>Dryland Cotton</t>
  </si>
  <si>
    <t>Dryland Soybeans</t>
  </si>
  <si>
    <t>Dryland Grain Sorghum</t>
  </si>
  <si>
    <t>Irrigated Corn, Strip Till</t>
  </si>
  <si>
    <t>Irrigated Cotton, Strip Till</t>
  </si>
  <si>
    <t>Irrigated Grain Sorghum, Strip Till</t>
  </si>
  <si>
    <t>Irrigated Soybeans, Strip Till</t>
  </si>
  <si>
    <t>Dryland Corn, Strip Till</t>
  </si>
  <si>
    <t>Dryland Grain Sorghum, Strip Till</t>
  </si>
  <si>
    <t>Dryland Soybeans, Strip Till</t>
  </si>
  <si>
    <t>Dryland Cotton, Strip Till</t>
  </si>
  <si>
    <t>Conventional Wheat</t>
  </si>
  <si>
    <t>Intensively Managed Wheat</t>
  </si>
  <si>
    <t>P=</t>
  </si>
  <si>
    <t>K=</t>
  </si>
  <si>
    <t>per Gallon</t>
  </si>
  <si>
    <t>Peanut</t>
  </si>
  <si>
    <t xml:space="preserve">Soybean </t>
  </si>
  <si>
    <t>Irr Var Cost</t>
  </si>
  <si>
    <t>Irr Yield</t>
  </si>
  <si>
    <t>Dry Var Cost</t>
  </si>
  <si>
    <t>Dry Yield</t>
  </si>
  <si>
    <t>Cotton Price Determines</t>
  </si>
  <si>
    <t>Peanut Price Determines</t>
  </si>
  <si>
    <t>Corn Price Determines</t>
  </si>
  <si>
    <t>Soybean Price Determines</t>
  </si>
  <si>
    <t>Irrigated Peanut</t>
  </si>
  <si>
    <t>Irrigated Soybean</t>
  </si>
  <si>
    <t>Non Irrigated Peanut</t>
  </si>
  <si>
    <t>Non Irrigated Corn</t>
  </si>
  <si>
    <t>Non Irrigated Soybean</t>
  </si>
  <si>
    <t>Non Irrigated Cotton</t>
  </si>
  <si>
    <t>Strip Tillage Prices</t>
  </si>
  <si>
    <t>Conventional Tillage Prices</t>
  </si>
  <si>
    <t>1)</t>
  </si>
  <si>
    <t>2)</t>
  </si>
  <si>
    <t>3)</t>
  </si>
  <si>
    <t>4)</t>
  </si>
  <si>
    <t>Irrigated peanut is compared to irrigated cotton and non-irrigated peanut is compared to non-irrigated cotton.</t>
  </si>
  <si>
    <t>Irrigated corn is compared to irrigated cotton and non-irrigated corn is compared to non-irrigated cotton.</t>
  </si>
  <si>
    <t>Irrigated soybean is compared to irrigated cotton and non-irrigated soybean is compared to non-irrigated cotton.</t>
  </si>
  <si>
    <t>* The above chart is based on the following assumptions:</t>
  </si>
  <si>
    <t>Irrigated cotton is compared to irrigated peanut and non-irrigated cotton is compared to non-irrigated peanut.</t>
  </si>
  <si>
    <t>Irrigated corn is compared to irrigated peanut and non-irrigated corn is compared to non-irrigated peanut.</t>
  </si>
  <si>
    <t>Irrigated soybean is compared to irrigated peanut and non-irrigated soybean is compared to non-irrigated peanut.</t>
  </si>
  <si>
    <t>Irrigated cotton is compared to irrigated corn and non-irrigated cotton is compared to non-irrigated corn.</t>
  </si>
  <si>
    <t>Irrigated peanut is compared to irrigated corn and non-irrigated peanut is compared to non-irrigated corn.</t>
  </si>
  <si>
    <t>Irrigated soybean is compared to irrigated corn and non-irrigated soybean is compared to non-irrigated corn.</t>
  </si>
  <si>
    <t>Irrigated cotton is compared to irrigated soybean and non-irrigated cotton is compared to non-irrigated soybean.</t>
  </si>
  <si>
    <t>Irrigated peanut is compared to irrigated soybean and non-irrigated peanut is compared to non-irrigated soybean.</t>
  </si>
  <si>
    <t>Irrigated corn is compared to irrigated soybean and non-irrigated corn is compared to non-irrigated soybean.</t>
  </si>
  <si>
    <t>Prices shown are those needed to cover budgeted operating expenses for strip tillage production listed in the crop comparison tool.</t>
  </si>
  <si>
    <t>Prices shown are those needed to cover budgeted operating costs for conventional till production listed in the crop comparison tool.</t>
  </si>
  <si>
    <t>Peanut to Cotton</t>
  </si>
  <si>
    <t>Corn to Cotton</t>
  </si>
  <si>
    <t>Soybean to Cotton</t>
  </si>
  <si>
    <t>Cotton to Peanut</t>
  </si>
  <si>
    <t>Corn to Peanut</t>
  </si>
  <si>
    <t>Soybean to Peanut</t>
  </si>
  <si>
    <t>Cotton to Corn</t>
  </si>
  <si>
    <t>Peanut to Corn</t>
  </si>
  <si>
    <t>Soybean to Corn</t>
  </si>
  <si>
    <t>Cotton to Soybean</t>
  </si>
  <si>
    <t>Peanut to Soybean</t>
  </si>
  <si>
    <t>Corn to Soybean</t>
  </si>
  <si>
    <t>Click on the box to see a chart of the two commodities that you wish to compare.</t>
  </si>
  <si>
    <t>Conventional Tillage: Equal Returns Above Variable Costs Price Comparisons</t>
  </si>
  <si>
    <t>Strip Tillage: Equal Returns Above Variable Costs Price Comparisons</t>
  </si>
  <si>
    <t>Irrigated Peanuts</t>
  </si>
  <si>
    <t>Dryland Peanuts</t>
  </si>
  <si>
    <t>Irrigated Peanuts, Strip Till</t>
  </si>
  <si>
    <t>Dryland Peanuts, Strip Till</t>
  </si>
  <si>
    <t>EXPECTED SEASON AVG PRICE</t>
  </si>
  <si>
    <t>Chicken Litter</t>
  </si>
  <si>
    <t>Land Rent</t>
  </si>
  <si>
    <t>Sensitivity Analysis of Yields and Prices of Conventional-Tillage, Irrigated Crops, South Georgia</t>
  </si>
  <si>
    <t>Sensitivity Analysis of Yields and Prices of Conventional-Tillage, Dryland Crops, South Georgia</t>
  </si>
  <si>
    <t>Sensitivity Analysis of Yields and Prices on Strip-Tillage, Irrigated Crops, South Georgia</t>
  </si>
  <si>
    <t>Sensitivity Analysis of Yields and Prices on Strip-Tillage, Dryland Crops, South Georgia</t>
  </si>
  <si>
    <t>Remaining Uncontracted Pounds per Acre</t>
  </si>
  <si>
    <t>Contracted Pounds per Acre</t>
  </si>
  <si>
    <t>Contracted Price per Ton</t>
  </si>
  <si>
    <t>Expected Harvest Price per Ton</t>
  </si>
  <si>
    <t>Irrigated Peanut Price Calculator</t>
  </si>
  <si>
    <t>Average Dryland Peanut Price</t>
  </si>
  <si>
    <t>Average Irrigated Peanut Price</t>
  </si>
  <si>
    <t>Non Irrigated Peanut Price Calculator</t>
  </si>
  <si>
    <t>Expected Pounds Irrigated Yield</t>
  </si>
  <si>
    <t>Expected Pounds Non-Irrigated Yield</t>
  </si>
  <si>
    <t>Contracted Peanut Yield Calculator</t>
  </si>
  <si>
    <t>Percent contracted</t>
  </si>
  <si>
    <t>Last year's yield (pounds)</t>
  </si>
  <si>
    <t>Pounds contracted this year</t>
  </si>
  <si>
    <t>Last Year's Total Acres</t>
  </si>
  <si>
    <t>In the blue cell to the left, put your expected irrigated yield per acre.</t>
  </si>
  <si>
    <t>In the blue cells to the left, fill in the amount of pounds you contracted and the respective contract price (you can adjust the pounds and prices)</t>
  </si>
  <si>
    <t>In this blue cell, put in your expectation of harvest price.</t>
  </si>
  <si>
    <t>In the yellow cell to the left, put your expected non-irrigated yield per acre.</t>
  </si>
  <si>
    <t>In the yellow cells to the left, fill in the amount of pounds you contracted and the respective contract price (you can adjust the pounds and prices)</t>
  </si>
  <si>
    <t>In this yellow cell, put in your expectation of harvest price.</t>
  </si>
  <si>
    <t>**** Season Average Diesel Fuel Price:</t>
  </si>
  <si>
    <t>April 2012</t>
  </si>
  <si>
    <t>EXPECTED YIELD per ACRE</t>
  </si>
  <si>
    <t>GROSS RETURN per ACRE</t>
  </si>
  <si>
    <t>VARIABLE COSTS per ACRE</t>
  </si>
  <si>
    <t>TOTAL VARIABLE COSTS per ACRE</t>
  </si>
  <si>
    <t>lbs</t>
  </si>
  <si>
    <t>/lb</t>
  </si>
  <si>
    <t>/ton</t>
  </si>
  <si>
    <t>bu</t>
  </si>
  <si>
    <t>/bu</t>
  </si>
  <si>
    <t>RETURN ABOVE VARIABLE COST per ACRE</t>
  </si>
  <si>
    <t>FIXED COSTS per ACRE</t>
  </si>
  <si>
    <t>TOTAL SPECIFIED FIXED COSTS per ACRE</t>
  </si>
  <si>
    <t>TOTAL COST EXCL. LAND &amp; MGT per ACRE</t>
  </si>
  <si>
    <t>RETURN TO LAND AND MGT per ACRE</t>
  </si>
  <si>
    <t>BREAKEVEN YIELD per ACRE</t>
  </si>
  <si>
    <t>N=</t>
  </si>
  <si>
    <t>BREAKEVEN PRICE  (Variable Cost)</t>
  </si>
  <si>
    <t>Gin &amp; Warehouse (net after cottonseed)</t>
  </si>
  <si>
    <t>Custom Application</t>
  </si>
  <si>
    <t>Hand Weeding</t>
  </si>
  <si>
    <t>Handweeding</t>
  </si>
  <si>
    <t>* Expected fertilizer $/lb. of nutrient:</t>
  </si>
  <si>
    <t>** Season Average Diesel fuel price:</t>
  </si>
  <si>
    <t>* Value only if cover crop is not harvested, i.e. wheat for grain, etc.</t>
  </si>
  <si>
    <t>** Expected fertilizer $/lb.of nutrient:</t>
  </si>
  <si>
    <t>ctn</t>
  </si>
  <si>
    <t>crn</t>
  </si>
  <si>
    <t>pnt</t>
  </si>
  <si>
    <t>soy</t>
  </si>
  <si>
    <t>grsor</t>
  </si>
  <si>
    <t>cor</t>
  </si>
  <si>
    <t>avc</t>
  </si>
  <si>
    <t>agr</t>
  </si>
  <si>
    <t>aravc</t>
  </si>
  <si>
    <t>aravc-lr</t>
  </si>
  <si>
    <t>BREAKEVEN YIELD per ACRE (Variable Cost)</t>
  </si>
  <si>
    <t>By A.R. Smith, A.N. Rabinowitz and W.D. Shurley, UGA Extension Economists, Department of Agricultural &amp; Applied Economics</t>
  </si>
  <si>
    <t>*** Average of diesel and electric irrigation application costs.  Electric is estimated at $7/appl and diesel is estimated at $9.50/appl when diesel cost $1.90/gal.</t>
  </si>
  <si>
    <t>Estimate of 2017 Row Crop Costs and Returns</t>
  </si>
  <si>
    <t>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</si>
</sst>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00"/>
    <numFmt numFmtId="168" formatCode="_(* #,##0_);_(* \(#,##0\);_(* &quot;-&quot;??_);_(@_)"/>
    <numFmt numFmtId="169" formatCode="0.0000"/>
    <numFmt numFmtId="170" formatCode="[$-F400]h:mm:ss\ AM/PM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0"/>
      <color theme="11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4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9933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</borders>
  <cellStyleXfs count="13">
    <xf numFmtId="0" fontId="0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67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8" fillId="4" borderId="0" xfId="2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44" fontId="3" fillId="4" borderId="9" xfId="2" applyFont="1" applyFill="1" applyBorder="1" applyAlignment="1">
      <alignment horizontal="center"/>
    </xf>
    <xf numFmtId="0" fontId="0" fillId="4" borderId="0" xfId="0" applyFill="1"/>
    <xf numFmtId="44" fontId="8" fillId="5" borderId="0" xfId="2" applyFont="1" applyFill="1" applyAlignment="1">
      <alignment horizontal="center"/>
    </xf>
    <xf numFmtId="164" fontId="8" fillId="5" borderId="0" xfId="2" applyNumberFormat="1" applyFont="1" applyFill="1" applyAlignment="1">
      <alignment horizontal="center"/>
    </xf>
    <xf numFmtId="44" fontId="3" fillId="5" borderId="9" xfId="2" applyFont="1" applyFill="1" applyBorder="1" applyAlignment="1">
      <alignment horizontal="center"/>
    </xf>
    <xf numFmtId="0" fontId="0" fillId="5" borderId="0" xfId="0" applyFill="1"/>
    <xf numFmtId="44" fontId="8" fillId="5" borderId="0" xfId="2" applyNumberFormat="1" applyFont="1" applyFill="1" applyAlignment="1">
      <alignment horizontal="center"/>
    </xf>
    <xf numFmtId="44" fontId="8" fillId="6" borderId="0" xfId="2" applyFont="1" applyFill="1" applyAlignment="1">
      <alignment horizontal="center"/>
    </xf>
    <xf numFmtId="164" fontId="8" fillId="6" borderId="0" xfId="2" applyNumberFormat="1" applyFont="1" applyFill="1" applyAlignment="1">
      <alignment horizontal="center"/>
    </xf>
    <xf numFmtId="44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3" fillId="7" borderId="9" xfId="2" applyNumberFormat="1" applyFont="1" applyFill="1" applyBorder="1" applyAlignment="1">
      <alignment horizontal="center"/>
    </xf>
    <xf numFmtId="0" fontId="0" fillId="7" borderId="0" xfId="0" applyFill="1"/>
    <xf numFmtId="44" fontId="3" fillId="6" borderId="9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4" fontId="8" fillId="4" borderId="0" xfId="2" applyNumberFormat="1" applyFont="1" applyFill="1" applyAlignment="1">
      <alignment horizontal="center"/>
    </xf>
    <xf numFmtId="44" fontId="8" fillId="6" borderId="0" xfId="2" applyFont="1" applyFill="1" applyBorder="1" applyAlignment="1">
      <alignment horizontal="center"/>
    </xf>
    <xf numFmtId="164" fontId="8" fillId="6" borderId="0" xfId="2" applyNumberFormat="1" applyFont="1" applyFill="1" applyBorder="1" applyAlignment="1">
      <alignment horizontal="center"/>
    </xf>
    <xf numFmtId="44" fontId="8" fillId="7" borderId="0" xfId="2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4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44" fontId="8" fillId="5" borderId="0" xfId="2" applyFont="1" applyFill="1" applyBorder="1" applyAlignment="1">
      <alignment horizontal="center"/>
    </xf>
    <xf numFmtId="44" fontId="8" fillId="4" borderId="0" xfId="2" applyFont="1" applyFill="1" applyBorder="1" applyAlignment="1">
      <alignment horizontal="center"/>
    </xf>
    <xf numFmtId="164" fontId="8" fillId="4" borderId="0" xfId="2" applyNumberFormat="1" applyFont="1" applyFill="1" applyBorder="1" applyAlignment="1">
      <alignment horizontal="center"/>
    </xf>
    <xf numFmtId="0" fontId="0" fillId="0" borderId="10" xfId="0" applyBorder="1"/>
    <xf numFmtId="44" fontId="8" fillId="6" borderId="10" xfId="2" applyFont="1" applyFill="1" applyBorder="1" applyAlignment="1">
      <alignment horizontal="center"/>
    </xf>
    <xf numFmtId="164" fontId="8" fillId="6" borderId="10" xfId="2" applyNumberFormat="1" applyFont="1" applyFill="1" applyBorder="1" applyAlignment="1">
      <alignment horizontal="center"/>
    </xf>
    <xf numFmtId="44" fontId="8" fillId="7" borderId="10" xfId="2" applyFont="1" applyFill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44" fontId="8" fillId="5" borderId="10" xfId="2" applyNumberFormat="1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44" fontId="8" fillId="5" borderId="10" xfId="2" applyFont="1" applyFill="1" applyBorder="1" applyAlignment="1">
      <alignment horizontal="center"/>
    </xf>
    <xf numFmtId="44" fontId="8" fillId="4" borderId="10" xfId="2" applyFont="1" applyFill="1" applyBorder="1" applyAlignment="1">
      <alignment horizontal="center"/>
    </xf>
    <xf numFmtId="164" fontId="8" fillId="4" borderId="1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8" borderId="0" xfId="0" applyFont="1" applyFill="1" applyAlignment="1">
      <alignment vertical="center"/>
    </xf>
    <xf numFmtId="0" fontId="4" fillId="8" borderId="0" xfId="0" applyFont="1" applyFill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6" xfId="0" applyFont="1" applyFill="1" applyBorder="1"/>
    <xf numFmtId="0" fontId="5" fillId="8" borderId="6" xfId="0" applyFont="1" applyFill="1" applyBorder="1" applyAlignment="1">
      <alignment horizontal="center"/>
    </xf>
    <xf numFmtId="3" fontId="5" fillId="8" borderId="6" xfId="0" applyNumberFormat="1" applyFont="1" applyFill="1" applyBorder="1" applyAlignment="1" applyProtection="1">
      <alignment horizontal="right"/>
      <protection locked="0"/>
    </xf>
    <xf numFmtId="3" fontId="5" fillId="8" borderId="0" xfId="0" applyNumberFormat="1" applyFont="1" applyFill="1" applyBorder="1" applyAlignment="1" applyProtection="1">
      <alignment horizontal="right"/>
      <protection locked="0"/>
    </xf>
    <xf numFmtId="167" fontId="5" fillId="8" borderId="0" xfId="0" applyNumberFormat="1" applyFont="1" applyFill="1" applyBorder="1" applyAlignment="1" applyProtection="1">
      <alignment horizontal="right"/>
      <protection locked="0"/>
    </xf>
    <xf numFmtId="166" fontId="5" fillId="8" borderId="0" xfId="0" applyNumberFormat="1" applyFont="1" applyFill="1" applyBorder="1" applyAlignment="1" applyProtection="1">
      <alignment horizontal="right"/>
      <protection locked="0"/>
    </xf>
    <xf numFmtId="165" fontId="5" fillId="8" borderId="0" xfId="0" applyNumberFormat="1" applyFont="1" applyFill="1" applyBorder="1" applyAlignment="1" applyProtection="1">
      <alignment horizontal="right"/>
      <protection locked="0"/>
    </xf>
    <xf numFmtId="0" fontId="6" fillId="8" borderId="7" xfId="0" applyFont="1" applyFill="1" applyBorder="1"/>
    <xf numFmtId="166" fontId="6" fillId="8" borderId="7" xfId="0" applyNumberFormat="1" applyFont="1" applyFill="1" applyBorder="1"/>
    <xf numFmtId="166" fontId="6" fillId="8" borderId="0" xfId="0" applyNumberFormat="1" applyFont="1" applyFill="1" applyBorder="1"/>
    <xf numFmtId="166" fontId="5" fillId="8" borderId="7" xfId="0" applyNumberFormat="1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>
      <alignment horizontal="center"/>
    </xf>
    <xf numFmtId="0" fontId="0" fillId="8" borderId="0" xfId="0" applyFill="1" applyBorder="1"/>
    <xf numFmtId="0" fontId="4" fillId="8" borderId="20" xfId="0" applyFont="1" applyFill="1" applyBorder="1" applyAlignment="1">
      <alignment horizontal="right"/>
    </xf>
    <xf numFmtId="9" fontId="4" fillId="8" borderId="7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9" fontId="4" fillId="8" borderId="7" xfId="0" quotePrefix="1" applyNumberFormat="1" applyFont="1" applyFill="1" applyBorder="1" applyAlignment="1">
      <alignment horizontal="center"/>
    </xf>
    <xf numFmtId="9" fontId="4" fillId="8" borderId="6" xfId="0" applyNumberFormat="1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9" fontId="4" fillId="8" borderId="6" xfId="0" quotePrefix="1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7" fontId="4" fillId="8" borderId="21" xfId="2" applyNumberFormat="1" applyFont="1" applyFill="1" applyBorder="1" applyAlignment="1">
      <alignment horizontal="center"/>
    </xf>
    <xf numFmtId="164" fontId="4" fillId="8" borderId="6" xfId="2" applyNumberFormat="1" applyFont="1" applyFill="1" applyBorder="1"/>
    <xf numFmtId="7" fontId="4" fillId="8" borderId="22" xfId="2" applyNumberFormat="1" applyFont="1" applyFill="1" applyBorder="1" applyAlignment="1">
      <alignment horizontal="center"/>
    </xf>
    <xf numFmtId="164" fontId="4" fillId="8" borderId="0" xfId="2" applyNumberFormat="1" applyFont="1" applyFill="1" applyBorder="1"/>
    <xf numFmtId="7" fontId="4" fillId="8" borderId="23" xfId="2" applyNumberFormat="1" applyFont="1" applyFill="1" applyBorder="1" applyAlignment="1">
      <alignment horizontal="center"/>
    </xf>
    <xf numFmtId="164" fontId="4" fillId="8" borderId="10" xfId="2" applyNumberFormat="1" applyFont="1" applyFill="1" applyBorder="1"/>
    <xf numFmtId="5" fontId="4" fillId="8" borderId="21" xfId="2" applyNumberFormat="1" applyFont="1" applyFill="1" applyBorder="1" applyAlignment="1">
      <alignment horizontal="center"/>
    </xf>
    <xf numFmtId="5" fontId="4" fillId="8" borderId="22" xfId="2" applyNumberFormat="1" applyFont="1" applyFill="1" applyBorder="1" applyAlignment="1">
      <alignment horizontal="center"/>
    </xf>
    <xf numFmtId="5" fontId="4" fillId="8" borderId="23" xfId="2" applyNumberFormat="1" applyFont="1" applyFill="1" applyBorder="1" applyAlignment="1">
      <alignment horizontal="center"/>
    </xf>
    <xf numFmtId="0" fontId="5" fillId="8" borderId="0" xfId="0" applyFont="1" applyFill="1" applyBorder="1" applyAlignment="1"/>
    <xf numFmtId="0" fontId="11" fillId="8" borderId="0" xfId="0" applyFont="1" applyFill="1" applyAlignment="1"/>
    <xf numFmtId="0" fontId="12" fillId="8" borderId="0" xfId="0" applyFont="1" applyFill="1"/>
    <xf numFmtId="0" fontId="12" fillId="0" borderId="0" xfId="0" applyFont="1"/>
    <xf numFmtId="0" fontId="12" fillId="8" borderId="0" xfId="0" applyFont="1" applyFill="1" applyBorder="1" applyAlignment="1"/>
    <xf numFmtId="49" fontId="13" fillId="3" borderId="7" xfId="0" applyNumberFormat="1" applyFont="1" applyFill="1" applyBorder="1" applyAlignment="1"/>
    <xf numFmtId="49" fontId="13" fillId="3" borderId="21" xfId="0" applyNumberFormat="1" applyFont="1" applyFill="1" applyBorder="1" applyAlignment="1"/>
    <xf numFmtId="0" fontId="14" fillId="8" borderId="0" xfId="0" applyFont="1" applyFill="1"/>
    <xf numFmtId="0" fontId="14" fillId="0" borderId="0" xfId="0" applyFont="1"/>
    <xf numFmtId="0" fontId="11" fillId="3" borderId="24" xfId="0" applyFont="1" applyFill="1" applyBorder="1"/>
    <xf numFmtId="0" fontId="13" fillId="8" borderId="1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2" fillId="8" borderId="17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1" fillId="8" borderId="17" xfId="0" applyFont="1" applyFill="1" applyBorder="1"/>
    <xf numFmtId="0" fontId="11" fillId="8" borderId="19" xfId="0" applyFont="1" applyFill="1" applyBorder="1"/>
    <xf numFmtId="0" fontId="11" fillId="8" borderId="2" xfId="0" applyFont="1" applyFill="1" applyBorder="1"/>
    <xf numFmtId="0" fontId="11" fillId="8" borderId="1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0" fontId="14" fillId="8" borderId="20" xfId="0" applyFont="1" applyFill="1" applyBorder="1" applyAlignment="1">
      <alignment horizontal="right"/>
    </xf>
    <xf numFmtId="1" fontId="14" fillId="8" borderId="0" xfId="0" applyNumberFormat="1" applyFont="1" applyFill="1" applyBorder="1" applyAlignment="1" applyProtection="1">
      <alignment horizontal="right"/>
      <protection locked="0"/>
    </xf>
    <xf numFmtId="1" fontId="14" fillId="8" borderId="15" xfId="0" applyNumberFormat="1" applyFont="1" applyFill="1" applyBorder="1" applyAlignment="1" applyProtection="1">
      <alignment horizontal="right"/>
      <protection locked="0"/>
    </xf>
    <xf numFmtId="1" fontId="14" fillId="8" borderId="22" xfId="0" applyNumberFormat="1" applyFont="1" applyFill="1" applyBorder="1" applyAlignment="1" applyProtection="1">
      <alignment horizontal="right"/>
      <protection locked="0"/>
    </xf>
    <xf numFmtId="1" fontId="14" fillId="8" borderId="13" xfId="0" applyNumberFormat="1" applyFont="1" applyFill="1" applyBorder="1" applyAlignment="1" applyProtection="1">
      <alignment horizontal="right"/>
      <protection locked="0"/>
    </xf>
    <xf numFmtId="1" fontId="14" fillId="8" borderId="0" xfId="0" applyNumberFormat="1" applyFont="1" applyFill="1" applyBorder="1" applyAlignment="1">
      <alignment horizontal="right"/>
    </xf>
    <xf numFmtId="1" fontId="14" fillId="8" borderId="15" xfId="0" applyNumberFormat="1" applyFont="1" applyFill="1" applyBorder="1" applyAlignment="1">
      <alignment horizontal="right"/>
    </xf>
    <xf numFmtId="1" fontId="14" fillId="8" borderId="22" xfId="0" applyNumberFormat="1" applyFont="1" applyFill="1" applyBorder="1" applyAlignment="1">
      <alignment horizontal="right"/>
    </xf>
    <xf numFmtId="1" fontId="14" fillId="8" borderId="13" xfId="0" applyNumberFormat="1" applyFont="1" applyFill="1" applyBorder="1" applyAlignment="1">
      <alignment horizontal="right"/>
    </xf>
    <xf numFmtId="1" fontId="14" fillId="8" borderId="23" xfId="0" applyNumberFormat="1" applyFont="1" applyFill="1" applyBorder="1" applyAlignment="1">
      <alignment horizontal="right"/>
    </xf>
    <xf numFmtId="0" fontId="11" fillId="8" borderId="18" xfId="0" applyFont="1" applyFill="1" applyBorder="1"/>
    <xf numFmtId="166" fontId="15" fillId="3" borderId="4" xfId="0" applyNumberFormat="1" applyFont="1" applyFill="1" applyBorder="1"/>
    <xf numFmtId="0" fontId="11" fillId="2" borderId="1" xfId="0" applyFont="1" applyFill="1" applyBorder="1"/>
    <xf numFmtId="165" fontId="13" fillId="2" borderId="8" xfId="2" applyNumberFormat="1" applyFont="1" applyFill="1" applyBorder="1" applyAlignment="1">
      <alignment horizontal="right"/>
    </xf>
    <xf numFmtId="165" fontId="15" fillId="2" borderId="7" xfId="2" applyNumberFormat="1" applyFont="1" applyFill="1" applyBorder="1" applyAlignment="1">
      <alignment horizontal="left"/>
    </xf>
    <xf numFmtId="165" fontId="13" fillId="2" borderId="7" xfId="2" applyNumberFormat="1" applyFont="1" applyFill="1" applyBorder="1" applyAlignment="1">
      <alignment horizontal="right"/>
    </xf>
    <xf numFmtId="165" fontId="15" fillId="2" borderId="16" xfId="2" applyNumberFormat="1" applyFont="1" applyFill="1" applyBorder="1" applyAlignment="1">
      <alignment horizontal="left"/>
    </xf>
    <xf numFmtId="165" fontId="15" fillId="2" borderId="20" xfId="2" applyNumberFormat="1" applyFont="1" applyFill="1" applyBorder="1" applyAlignment="1">
      <alignment horizontal="left"/>
    </xf>
    <xf numFmtId="0" fontId="15" fillId="8" borderId="1" xfId="0" applyFont="1" applyFill="1" applyBorder="1"/>
    <xf numFmtId="0" fontId="16" fillId="8" borderId="17" xfId="0" applyFont="1" applyFill="1" applyBorder="1"/>
    <xf numFmtId="6" fontId="14" fillId="8" borderId="13" xfId="0" applyNumberFormat="1" applyFont="1" applyFill="1" applyBorder="1" applyAlignment="1">
      <alignment horizontal="right"/>
    </xf>
    <xf numFmtId="6" fontId="14" fillId="8" borderId="0" xfId="0" applyNumberFormat="1" applyFont="1" applyFill="1" applyBorder="1" applyAlignment="1">
      <alignment horizontal="right"/>
    </xf>
    <xf numFmtId="6" fontId="14" fillId="8" borderId="15" xfId="0" applyNumberFormat="1" applyFont="1" applyFill="1" applyBorder="1" applyAlignment="1">
      <alignment horizontal="right"/>
    </xf>
    <xf numFmtId="6" fontId="14" fillId="8" borderId="20" xfId="0" applyNumberFormat="1" applyFont="1" applyFill="1" applyBorder="1" applyAlignment="1">
      <alignment horizontal="right"/>
    </xf>
    <xf numFmtId="0" fontId="15" fillId="8" borderId="18" xfId="0" applyFont="1" applyFill="1" applyBorder="1"/>
    <xf numFmtId="165" fontId="11" fillId="3" borderId="3" xfId="0" applyNumberFormat="1" applyFont="1" applyFill="1" applyBorder="1"/>
    <xf numFmtId="165" fontId="14" fillId="8" borderId="13" xfId="0" applyNumberFormat="1" applyFont="1" applyFill="1" applyBorder="1" applyAlignment="1">
      <alignment horizontal="right"/>
    </xf>
    <xf numFmtId="165" fontId="14" fillId="8" borderId="0" xfId="0" applyNumberFormat="1" applyFont="1" applyFill="1" applyBorder="1" applyAlignment="1">
      <alignment horizontal="right"/>
    </xf>
    <xf numFmtId="165" fontId="14" fillId="8" borderId="15" xfId="0" applyNumberFormat="1" applyFont="1" applyFill="1" applyBorder="1" applyAlignment="1">
      <alignment horizontal="right"/>
    </xf>
    <xf numFmtId="165" fontId="14" fillId="8" borderId="22" xfId="0" applyNumberFormat="1" applyFont="1" applyFill="1" applyBorder="1" applyAlignment="1">
      <alignment horizontal="right"/>
    </xf>
    <xf numFmtId="165" fontId="13" fillId="2" borderId="5" xfId="2" applyNumberFormat="1" applyFont="1" applyFill="1" applyBorder="1" applyAlignment="1">
      <alignment horizontal="right"/>
    </xf>
    <xf numFmtId="165" fontId="15" fillId="2" borderId="6" xfId="2" applyNumberFormat="1" applyFont="1" applyFill="1" applyBorder="1" applyAlignment="1">
      <alignment horizontal="left"/>
    </xf>
    <xf numFmtId="165" fontId="13" fillId="2" borderId="6" xfId="2" applyNumberFormat="1" applyFont="1" applyFill="1" applyBorder="1" applyAlignment="1">
      <alignment horizontal="right"/>
    </xf>
    <xf numFmtId="0" fontId="11" fillId="2" borderId="2" xfId="0" applyFont="1" applyFill="1" applyBorder="1"/>
    <xf numFmtId="3" fontId="13" fillId="2" borderId="8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left"/>
    </xf>
    <xf numFmtId="1" fontId="13" fillId="2" borderId="7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 applyAlignment="1"/>
    <xf numFmtId="0" fontId="12" fillId="0" borderId="0" xfId="0" applyFont="1" applyFill="1"/>
    <xf numFmtId="0" fontId="11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right"/>
    </xf>
    <xf numFmtId="0" fontId="12" fillId="8" borderId="0" xfId="0" applyFont="1" applyFill="1" applyAlignment="1">
      <alignment horizontal="left"/>
    </xf>
    <xf numFmtId="0" fontId="12" fillId="8" borderId="0" xfId="0" applyFont="1" applyFill="1" applyAlignment="1"/>
    <xf numFmtId="8" fontId="11" fillId="8" borderId="0" xfId="0" applyNumberFormat="1" applyFont="1" applyFill="1" applyAlignment="1" applyProtection="1">
      <protection locked="0"/>
    </xf>
    <xf numFmtId="0" fontId="13" fillId="8" borderId="0" xfId="0" applyFont="1" applyFill="1" applyAlignment="1"/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6" fontId="11" fillId="3" borderId="4" xfId="0" applyNumberFormat="1" applyFont="1" applyFill="1" applyBorder="1"/>
    <xf numFmtId="166" fontId="14" fillId="8" borderId="0" xfId="0" applyNumberFormat="1" applyFont="1" applyFill="1"/>
    <xf numFmtId="166" fontId="14" fillId="0" borderId="0" xfId="0" applyNumberFormat="1" applyFont="1"/>
    <xf numFmtId="165" fontId="14" fillId="8" borderId="0" xfId="0" applyNumberFormat="1" applyFont="1" applyFill="1"/>
    <xf numFmtId="165" fontId="14" fillId="0" borderId="0" xfId="0" applyNumberFormat="1" applyFont="1"/>
    <xf numFmtId="165" fontId="13" fillId="2" borderId="5" xfId="2" applyNumberFormat="1" applyFont="1" applyFill="1" applyBorder="1" applyAlignment="1"/>
    <xf numFmtId="165" fontId="11" fillId="8" borderId="6" xfId="0" applyNumberFormat="1" applyFont="1" applyFill="1" applyBorder="1" applyAlignment="1" applyProtection="1">
      <protection locked="0"/>
    </xf>
    <xf numFmtId="0" fontId="11" fillId="8" borderId="6" xfId="0" applyFont="1" applyFill="1" applyBorder="1" applyAlignment="1">
      <alignment horizontal="right"/>
    </xf>
    <xf numFmtId="0" fontId="12" fillId="8" borderId="0" xfId="0" applyFont="1" applyFill="1" applyBorder="1"/>
    <xf numFmtId="0" fontId="14" fillId="8" borderId="0" xfId="0" applyFont="1" applyFill="1" applyBorder="1" applyAlignment="1"/>
    <xf numFmtId="0" fontId="14" fillId="8" borderId="0" xfId="0" applyFont="1" applyFill="1" applyAlignment="1"/>
    <xf numFmtId="0" fontId="14" fillId="8" borderId="0" xfId="0" applyFont="1" applyFill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4" fillId="0" borderId="0" xfId="0" applyFont="1" applyFill="1"/>
    <xf numFmtId="0" fontId="13" fillId="8" borderId="13" xfId="0" applyFont="1" applyFill="1" applyBorder="1" applyAlignment="1">
      <alignment horizontal="center" vertical="center"/>
    </xf>
    <xf numFmtId="0" fontId="19" fillId="6" borderId="9" xfId="3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9" fillId="7" borderId="9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4" xfId="0" applyFont="1" applyFill="1" applyBorder="1"/>
    <xf numFmtId="0" fontId="13" fillId="8" borderId="11" xfId="0" applyFont="1" applyFill="1" applyBorder="1"/>
    <xf numFmtId="0" fontId="14" fillId="8" borderId="12" xfId="0" applyFont="1" applyFill="1" applyBorder="1"/>
    <xf numFmtId="0" fontId="13" fillId="8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9" fontId="1" fillId="8" borderId="0" xfId="4" applyFont="1" applyFill="1" applyAlignment="1">
      <alignment vertical="center"/>
    </xf>
    <xf numFmtId="3" fontId="1" fillId="8" borderId="0" xfId="4" applyNumberFormat="1" applyFont="1" applyFill="1" applyAlignment="1">
      <alignment vertical="center"/>
    </xf>
    <xf numFmtId="168" fontId="1" fillId="8" borderId="0" xfId="1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3" fontId="3" fillId="9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0" xfId="1" applyNumberFormat="1" applyFont="1" applyAlignment="1" applyProtection="1">
      <alignment horizontal="center" vertical="center"/>
    </xf>
    <xf numFmtId="166" fontId="3" fillId="9" borderId="0" xfId="0" applyNumberFormat="1" applyFont="1" applyFill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>
      <alignment horizontal="center" vertical="center" wrapText="1"/>
    </xf>
    <xf numFmtId="166" fontId="1" fillId="8" borderId="7" xfId="2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6" fontId="3" fillId="8" borderId="0" xfId="2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0" applyNumberFormat="1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>
      <alignment horizontal="right"/>
    </xf>
    <xf numFmtId="49" fontId="11" fillId="3" borderId="25" xfId="0" quotePrefix="1" applyNumberFormat="1" applyFont="1" applyFill="1" applyBorder="1" applyAlignment="1"/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0" fontId="13" fillId="8" borderId="6" xfId="0" applyFont="1" applyFill="1" applyBorder="1" applyAlignment="1">
      <alignment horizontal="center"/>
    </xf>
    <xf numFmtId="165" fontId="11" fillId="8" borderId="0" xfId="0" applyNumberFormat="1" applyFont="1" applyFill="1" applyBorder="1" applyAlignment="1" applyProtection="1">
      <alignment horizontal="left"/>
      <protection locked="0"/>
    </xf>
    <xf numFmtId="0" fontId="11" fillId="8" borderId="0" xfId="0" applyFont="1" applyFill="1"/>
    <xf numFmtId="165" fontId="15" fillId="2" borderId="60" xfId="2" applyNumberFormat="1" applyFont="1" applyFill="1" applyBorder="1" applyAlignment="1">
      <alignment horizontal="left"/>
    </xf>
    <xf numFmtId="166" fontId="13" fillId="2" borderId="59" xfId="2" applyNumberFormat="1" applyFont="1" applyFill="1" applyBorder="1" applyAlignment="1">
      <alignment horizontal="right"/>
    </xf>
    <xf numFmtId="165" fontId="13" fillId="2" borderId="59" xfId="2" applyNumberFormat="1" applyFont="1" applyFill="1" applyBorder="1" applyAlignment="1">
      <alignment horizontal="right"/>
    </xf>
    <xf numFmtId="3" fontId="15" fillId="2" borderId="60" xfId="0" applyNumberFormat="1" applyFont="1" applyFill="1" applyBorder="1" applyAlignment="1">
      <alignment horizontal="left"/>
    </xf>
    <xf numFmtId="166" fontId="13" fillId="2" borderId="61" xfId="2" applyNumberFormat="1" applyFont="1" applyFill="1" applyBorder="1" applyAlignment="1">
      <alignment horizontal="right"/>
    </xf>
    <xf numFmtId="165" fontId="13" fillId="2" borderId="61" xfId="2" applyNumberFormat="1" applyFont="1" applyFill="1" applyBorder="1" applyAlignment="1">
      <alignment horizontal="right"/>
    </xf>
    <xf numFmtId="165" fontId="15" fillId="2" borderId="63" xfId="2" applyNumberFormat="1" applyFont="1" applyFill="1" applyBorder="1" applyAlignment="1">
      <alignment horizontal="left"/>
    </xf>
    <xf numFmtId="3" fontId="13" fillId="2" borderId="59" xfId="0" applyNumberFormat="1" applyFont="1" applyFill="1" applyBorder="1" applyAlignment="1">
      <alignment horizontal="right"/>
    </xf>
    <xf numFmtId="1" fontId="13" fillId="2" borderId="59" xfId="0" applyNumberFormat="1" applyFont="1" applyFill="1" applyBorder="1" applyAlignment="1">
      <alignment horizontal="right"/>
    </xf>
    <xf numFmtId="165" fontId="11" fillId="8" borderId="0" xfId="0" applyNumberFormat="1" applyFont="1" applyFill="1" applyBorder="1" applyAlignment="1" applyProtection="1">
      <protection locked="0"/>
    </xf>
    <xf numFmtId="0" fontId="13" fillId="8" borderId="63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right"/>
    </xf>
    <xf numFmtId="0" fontId="14" fillId="8" borderId="60" xfId="0" applyFont="1" applyFill="1" applyBorder="1" applyAlignment="1">
      <alignment horizontal="right"/>
    </xf>
    <xf numFmtId="1" fontId="14" fillId="8" borderId="57" xfId="0" applyNumberFormat="1" applyFont="1" applyFill="1" applyBorder="1" applyAlignment="1" applyProtection="1">
      <alignment horizontal="right"/>
      <protection locked="0"/>
    </xf>
    <xf numFmtId="1" fontId="14" fillId="8" borderId="58" xfId="0" applyNumberFormat="1" applyFont="1" applyFill="1" applyBorder="1" applyAlignment="1" applyProtection="1">
      <alignment horizontal="right"/>
      <protection locked="0"/>
    </xf>
    <xf numFmtId="1" fontId="14" fillId="8" borderId="57" xfId="0" applyNumberFormat="1" applyFont="1" applyFill="1" applyBorder="1" applyAlignment="1">
      <alignment horizontal="right"/>
    </xf>
    <xf numFmtId="1" fontId="14" fillId="8" borderId="58" xfId="0" applyNumberFormat="1" applyFont="1" applyFill="1" applyBorder="1" applyAlignment="1">
      <alignment horizontal="right"/>
    </xf>
    <xf numFmtId="6" fontId="14" fillId="8" borderId="57" xfId="0" applyNumberFormat="1" applyFont="1" applyFill="1" applyBorder="1" applyAlignment="1">
      <alignment horizontal="right"/>
    </xf>
    <xf numFmtId="6" fontId="14" fillId="8" borderId="58" xfId="0" applyNumberFormat="1" applyFont="1" applyFill="1" applyBorder="1" applyAlignment="1">
      <alignment horizontal="right"/>
    </xf>
    <xf numFmtId="165" fontId="14" fillId="8" borderId="57" xfId="0" applyNumberFormat="1" applyFont="1" applyFill="1" applyBorder="1" applyAlignment="1">
      <alignment horizontal="right"/>
    </xf>
    <xf numFmtId="165" fontId="14" fillId="8" borderId="58" xfId="0" applyNumberFormat="1" applyFont="1" applyFill="1" applyBorder="1" applyAlignment="1">
      <alignment horizontal="right"/>
    </xf>
    <xf numFmtId="0" fontId="13" fillId="8" borderId="61" xfId="0" applyFont="1" applyFill="1" applyBorder="1" applyAlignment="1">
      <alignment horizontal="center"/>
    </xf>
    <xf numFmtId="166" fontId="13" fillId="2" borderId="59" xfId="2" applyNumberFormat="1" applyFont="1" applyFill="1" applyBorder="1" applyAlignment="1"/>
    <xf numFmtId="0" fontId="11" fillId="7" borderId="1" xfId="0" applyFont="1" applyFill="1" applyBorder="1"/>
    <xf numFmtId="165" fontId="13" fillId="7" borderId="8" xfId="2" applyNumberFormat="1" applyFont="1" applyFill="1" applyBorder="1" applyAlignment="1">
      <alignment horizontal="right"/>
    </xf>
    <xf numFmtId="165" fontId="15" fillId="7" borderId="7" xfId="2" applyNumberFormat="1" applyFont="1" applyFill="1" applyBorder="1" applyAlignment="1">
      <alignment horizontal="left"/>
    </xf>
    <xf numFmtId="166" fontId="13" fillId="7" borderId="59" xfId="2" applyNumberFormat="1" applyFont="1" applyFill="1" applyBorder="1" applyAlignment="1">
      <alignment horizontal="right"/>
    </xf>
    <xf numFmtId="165" fontId="15" fillId="7" borderId="60" xfId="2" applyNumberFormat="1" applyFont="1" applyFill="1" applyBorder="1" applyAlignment="1">
      <alignment horizontal="left"/>
    </xf>
    <xf numFmtId="165" fontId="13" fillId="7" borderId="59" xfId="2" applyNumberFormat="1" applyFont="1" applyFill="1" applyBorder="1" applyAlignment="1">
      <alignment horizontal="right"/>
    </xf>
    <xf numFmtId="165" fontId="13" fillId="7" borderId="7" xfId="2" applyNumberFormat="1" applyFont="1" applyFill="1" applyBorder="1" applyAlignment="1">
      <alignment horizontal="right"/>
    </xf>
    <xf numFmtId="165" fontId="15" fillId="7" borderId="20" xfId="2" applyNumberFormat="1" applyFont="1" applyFill="1" applyBorder="1" applyAlignment="1">
      <alignment horizontal="left"/>
    </xf>
    <xf numFmtId="165" fontId="20" fillId="13" borderId="64" xfId="0" applyNumberFormat="1" applyFont="1" applyFill="1" applyBorder="1" applyAlignment="1" applyProtection="1">
      <alignment horizontal="right"/>
    </xf>
    <xf numFmtId="165" fontId="21" fillId="13" borderId="65" xfId="0" quotePrefix="1" applyNumberFormat="1" applyFont="1" applyFill="1" applyBorder="1" applyAlignment="1" applyProtection="1">
      <alignment horizontal="left"/>
      <protection locked="0"/>
    </xf>
    <xf numFmtId="165" fontId="20" fillId="13" borderId="28" xfId="0" applyNumberFormat="1" applyFont="1" applyFill="1" applyBorder="1" applyAlignment="1" applyProtection="1">
      <alignment horizontal="right"/>
    </xf>
    <xf numFmtId="165" fontId="21" fillId="13" borderId="30" xfId="0" quotePrefix="1" applyNumberFormat="1" applyFont="1" applyFill="1" applyBorder="1" applyAlignment="1" applyProtection="1">
      <alignment horizontal="left"/>
      <protection locked="0"/>
    </xf>
    <xf numFmtId="165" fontId="20" fillId="13" borderId="64" xfId="0" applyNumberFormat="1" applyFont="1" applyFill="1" applyBorder="1" applyAlignment="1" applyProtection="1">
      <alignment horizontal="right"/>
      <protection locked="0"/>
    </xf>
    <xf numFmtId="165" fontId="20" fillId="13" borderId="28" xfId="0" applyNumberFormat="1" applyFont="1" applyFill="1" applyBorder="1" applyAlignment="1" applyProtection="1">
      <alignment horizontal="right"/>
      <protection locked="0"/>
    </xf>
    <xf numFmtId="165" fontId="21" fillId="13" borderId="29" xfId="0" quotePrefix="1" applyNumberFormat="1" applyFont="1" applyFill="1" applyBorder="1" applyAlignment="1" applyProtection="1">
      <alignment horizontal="left"/>
      <protection locked="0"/>
    </xf>
    <xf numFmtId="165" fontId="21" fillId="13" borderId="28" xfId="0" quotePrefix="1" applyNumberFormat="1" applyFont="1" applyFill="1" applyBorder="1" applyAlignment="1" applyProtection="1">
      <alignment horizontal="left"/>
      <protection locked="0"/>
    </xf>
    <xf numFmtId="165" fontId="20" fillId="13" borderId="27" xfId="0" applyNumberFormat="1" applyFont="1" applyFill="1" applyBorder="1" applyAlignment="1" applyProtection="1">
      <protection locked="0"/>
    </xf>
    <xf numFmtId="3" fontId="20" fillId="14" borderId="59" xfId="0" applyNumberFormat="1" applyFont="1" applyFill="1" applyBorder="1" applyAlignment="1" applyProtection="1">
      <alignment horizontal="right"/>
    </xf>
    <xf numFmtId="3" fontId="21" fillId="14" borderId="60" xfId="0" applyNumberFormat="1" applyFont="1" applyFill="1" applyBorder="1" applyAlignment="1" applyProtection="1">
      <alignment horizontal="left"/>
      <protection locked="0"/>
    </xf>
    <xf numFmtId="166" fontId="20" fillId="14" borderId="64" xfId="0" applyNumberFormat="1" applyFont="1" applyFill="1" applyBorder="1" applyAlignment="1" applyProtection="1">
      <alignment horizontal="right"/>
    </xf>
    <xf numFmtId="165" fontId="21" fillId="14" borderId="65" xfId="0" quotePrefix="1" applyNumberFormat="1" applyFont="1" applyFill="1" applyBorder="1" applyAlignment="1" applyProtection="1">
      <alignment horizontal="left"/>
      <protection locked="0"/>
    </xf>
    <xf numFmtId="3" fontId="20" fillId="15" borderId="59" xfId="0" applyNumberFormat="1" applyFont="1" applyFill="1" applyBorder="1" applyAlignment="1" applyProtection="1">
      <alignment horizontal="right"/>
      <protection locked="0"/>
    </xf>
    <xf numFmtId="3" fontId="21" fillId="15" borderId="60" xfId="0" applyNumberFormat="1" applyFont="1" applyFill="1" applyBorder="1" applyAlignment="1" applyProtection="1">
      <alignment horizontal="left"/>
      <protection locked="0"/>
    </xf>
    <xf numFmtId="3" fontId="20" fillId="15" borderId="7" xfId="0" applyNumberFormat="1" applyFont="1" applyFill="1" applyBorder="1" applyAlignment="1" applyProtection="1">
      <alignment horizontal="right"/>
      <protection locked="0"/>
    </xf>
    <xf numFmtId="3" fontId="21" fillId="15" borderId="20" xfId="0" applyNumberFormat="1" applyFont="1" applyFill="1" applyBorder="1" applyAlignment="1" applyProtection="1">
      <alignment horizontal="left"/>
      <protection locked="0"/>
    </xf>
    <xf numFmtId="3" fontId="21" fillId="15" borderId="16" xfId="0" applyNumberFormat="1" applyFont="1" applyFill="1" applyBorder="1" applyAlignment="1" applyProtection="1">
      <alignment horizontal="left"/>
      <protection locked="0"/>
    </xf>
    <xf numFmtId="3" fontId="21" fillId="15" borderId="7" xfId="0" applyNumberFormat="1" applyFont="1" applyFill="1" applyBorder="1" applyAlignment="1" applyProtection="1">
      <alignment horizontal="left"/>
      <protection locked="0"/>
    </xf>
    <xf numFmtId="3" fontId="20" fillId="15" borderId="8" xfId="0" applyNumberFormat="1" applyFont="1" applyFill="1" applyBorder="1" applyAlignment="1" applyProtection="1">
      <protection locked="0"/>
    </xf>
    <xf numFmtId="3" fontId="20" fillId="15" borderId="8" xfId="0" applyNumberFormat="1" applyFont="1" applyFill="1" applyBorder="1" applyAlignment="1" applyProtection="1">
      <alignment horizontal="right"/>
      <protection locked="0"/>
    </xf>
    <xf numFmtId="165" fontId="20" fillId="13" borderId="27" xfId="0" applyNumberFormat="1" applyFont="1" applyFill="1" applyBorder="1" applyAlignment="1" applyProtection="1">
      <alignment horizontal="right"/>
      <protection locked="0"/>
    </xf>
    <xf numFmtId="0" fontId="13" fillId="14" borderId="61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3" fontId="21" fillId="14" borderId="7" xfId="0" applyNumberFormat="1" applyFont="1" applyFill="1" applyBorder="1" applyAlignment="1" applyProtection="1">
      <alignment horizontal="left"/>
      <protection locked="0"/>
    </xf>
    <xf numFmtId="165" fontId="21" fillId="14" borderId="28" xfId="0" quotePrefix="1" applyNumberFormat="1" applyFont="1" applyFill="1" applyBorder="1" applyAlignment="1" applyProtection="1">
      <alignment horizontal="left"/>
      <protection locked="0"/>
    </xf>
    <xf numFmtId="0" fontId="20" fillId="14" borderId="61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center"/>
    </xf>
    <xf numFmtId="170" fontId="11" fillId="3" borderId="25" xfId="0" quotePrefix="1" applyNumberFormat="1" applyFont="1" applyFill="1" applyBorder="1" applyAlignment="1"/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0" fontId="14" fillId="8" borderId="60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center"/>
    </xf>
    <xf numFmtId="6" fontId="14" fillId="8" borderId="59" xfId="0" applyNumberFormat="1" applyFont="1" applyFill="1" applyBorder="1" applyAlignment="1">
      <alignment horizontal="center"/>
    </xf>
    <xf numFmtId="6" fontId="14" fillId="8" borderId="60" xfId="0" applyNumberFormat="1" applyFont="1" applyFill="1" applyBorder="1" applyAlignment="1">
      <alignment horizontal="center"/>
    </xf>
    <xf numFmtId="165" fontId="15" fillId="2" borderId="10" xfId="2" applyNumberFormat="1" applyFont="1" applyFill="1" applyBorder="1" applyAlignment="1">
      <alignment horizontal="left"/>
    </xf>
    <xf numFmtId="0" fontId="14" fillId="8" borderId="0" xfId="0" applyFont="1" applyFill="1" applyBorder="1" applyAlignment="1">
      <alignment horizontal="center"/>
    </xf>
    <xf numFmtId="0" fontId="14" fillId="8" borderId="0" xfId="0" applyFont="1" applyFill="1" applyBorder="1"/>
    <xf numFmtId="165" fontId="20" fillId="13" borderId="27" xfId="0" applyNumberFormat="1" applyFont="1" applyFill="1" applyBorder="1" applyAlignment="1" applyProtection="1">
      <alignment horizontal="right"/>
    </xf>
    <xf numFmtId="169" fontId="14" fillId="8" borderId="0" xfId="0" applyNumberFormat="1" applyFont="1" applyFill="1" applyBorder="1"/>
    <xf numFmtId="166" fontId="14" fillId="8" borderId="0" xfId="0" applyNumberFormat="1" applyFont="1" applyFill="1" applyBorder="1"/>
    <xf numFmtId="165" fontId="14" fillId="8" borderId="0" xfId="0" applyNumberFormat="1" applyFont="1" applyFill="1" applyBorder="1"/>
    <xf numFmtId="1" fontId="13" fillId="2" borderId="8" xfId="0" applyNumberFormat="1" applyFont="1" applyFill="1" applyBorder="1" applyAlignment="1">
      <alignment horizontal="right"/>
    </xf>
    <xf numFmtId="0" fontId="14" fillId="8" borderId="10" xfId="0" applyFont="1" applyFill="1" applyBorder="1"/>
    <xf numFmtId="49" fontId="11" fillId="3" borderId="7" xfId="0" quotePrefix="1" applyNumberFormat="1" applyFont="1" applyFill="1" applyBorder="1" applyAlignment="1"/>
    <xf numFmtId="49" fontId="11" fillId="3" borderId="20" xfId="0" quotePrefix="1" applyNumberFormat="1" applyFont="1" applyFill="1" applyBorder="1" applyAlignment="1"/>
    <xf numFmtId="0" fontId="16" fillId="8" borderId="10" xfId="0" applyFont="1" applyFill="1" applyBorder="1" applyAlignment="1"/>
    <xf numFmtId="0" fontId="16" fillId="8" borderId="0" xfId="0" applyFont="1" applyFill="1" applyBorder="1" applyAlignment="1"/>
    <xf numFmtId="0" fontId="16" fillId="8" borderId="0" xfId="0" applyFont="1" applyFill="1"/>
    <xf numFmtId="0" fontId="16" fillId="0" borderId="0" xfId="0" applyFont="1"/>
    <xf numFmtId="1" fontId="0" fillId="0" borderId="0" xfId="0" applyNumberFormat="1"/>
    <xf numFmtId="1" fontId="15" fillId="7" borderId="20" xfId="2" applyNumberFormat="1" applyFont="1" applyFill="1" applyBorder="1" applyAlignment="1">
      <alignment horizontal="left"/>
    </xf>
    <xf numFmtId="0" fontId="11" fillId="2" borderId="17" xfId="0" applyFont="1" applyFill="1" applyBorder="1"/>
    <xf numFmtId="3" fontId="13" fillId="7" borderId="8" xfId="2" applyNumberFormat="1" applyFont="1" applyFill="1" applyBorder="1" applyAlignment="1">
      <alignment horizontal="right"/>
    </xf>
    <xf numFmtId="3" fontId="15" fillId="7" borderId="7" xfId="2" applyNumberFormat="1" applyFont="1" applyFill="1" applyBorder="1" applyAlignment="1">
      <alignment horizontal="left"/>
    </xf>
    <xf numFmtId="3" fontId="13" fillId="7" borderId="59" xfId="2" applyNumberFormat="1" applyFont="1" applyFill="1" applyBorder="1" applyAlignment="1">
      <alignment horizontal="right"/>
    </xf>
    <xf numFmtId="3" fontId="15" fillId="7" borderId="60" xfId="2" applyNumberFormat="1" applyFont="1" applyFill="1" applyBorder="1" applyAlignment="1">
      <alignment horizontal="left"/>
    </xf>
    <xf numFmtId="3" fontId="13" fillId="7" borderId="7" xfId="2" applyNumberFormat="1" applyFont="1" applyFill="1" applyBorder="1" applyAlignment="1">
      <alignment horizontal="right"/>
    </xf>
    <xf numFmtId="3" fontId="13" fillId="2" borderId="8" xfId="2" applyNumberFormat="1" applyFont="1" applyFill="1" applyBorder="1" applyAlignment="1">
      <alignment horizontal="right"/>
    </xf>
    <xf numFmtId="3" fontId="15" fillId="2" borderId="7" xfId="2" applyNumberFormat="1" applyFont="1" applyFill="1" applyBorder="1" applyAlignment="1">
      <alignment horizontal="left"/>
    </xf>
    <xf numFmtId="3" fontId="13" fillId="2" borderId="59" xfId="2" applyNumberFormat="1" applyFont="1" applyFill="1" applyBorder="1" applyAlignment="1">
      <alignment horizontal="right"/>
    </xf>
    <xf numFmtId="3" fontId="15" fillId="2" borderId="60" xfId="2" applyNumberFormat="1" applyFont="1" applyFill="1" applyBorder="1" applyAlignment="1">
      <alignment horizontal="left"/>
    </xf>
    <xf numFmtId="3" fontId="15" fillId="2" borderId="16" xfId="2" applyNumberFormat="1" applyFont="1" applyFill="1" applyBorder="1" applyAlignment="1">
      <alignment horizontal="left"/>
    </xf>
    <xf numFmtId="3" fontId="15" fillId="2" borderId="20" xfId="2" applyNumberFormat="1" applyFont="1" applyFill="1" applyBorder="1" applyAlignment="1">
      <alignment horizontal="left"/>
    </xf>
    <xf numFmtId="165" fontId="14" fillId="8" borderId="66" xfId="0" applyNumberFormat="1" applyFont="1" applyFill="1" applyBorder="1" applyAlignment="1">
      <alignment horizontal="center"/>
    </xf>
    <xf numFmtId="165" fontId="14" fillId="8" borderId="67" xfId="0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 applyProtection="1">
      <alignment horizontal="center"/>
      <protection locked="0"/>
    </xf>
    <xf numFmtId="1" fontId="14" fillId="8" borderId="58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left"/>
    </xf>
    <xf numFmtId="1" fontId="14" fillId="8" borderId="54" xfId="0" applyNumberFormat="1" applyFont="1" applyFill="1" applyBorder="1" applyAlignment="1" applyProtection="1">
      <alignment horizontal="center"/>
      <protection locked="0"/>
    </xf>
    <xf numFmtId="1" fontId="14" fillId="8" borderId="51" xfId="0" applyNumberFormat="1" applyFont="1" applyFill="1" applyBorder="1" applyAlignment="1">
      <alignment horizontal="center"/>
    </xf>
    <xf numFmtId="166" fontId="14" fillId="8" borderId="49" xfId="2" applyNumberFormat="1" applyFont="1" applyFill="1" applyBorder="1" applyAlignment="1">
      <alignment horizontal="center"/>
    </xf>
    <xf numFmtId="6" fontId="14" fillId="8" borderId="49" xfId="0" applyNumberFormat="1" applyFont="1" applyFill="1" applyBorder="1" applyAlignment="1">
      <alignment horizontal="center"/>
    </xf>
    <xf numFmtId="166" fontId="13" fillId="8" borderId="52" xfId="2" applyNumberFormat="1" applyFont="1" applyFill="1" applyBorder="1" applyAlignment="1">
      <alignment horizontal="center"/>
    </xf>
    <xf numFmtId="165" fontId="14" fillId="8" borderId="56" xfId="0" applyNumberFormat="1" applyFont="1" applyFill="1" applyBorder="1" applyAlignment="1">
      <alignment horizontal="center"/>
    </xf>
    <xf numFmtId="165" fontId="14" fillId="8" borderId="34" xfId="0" applyNumberFormat="1" applyFont="1" applyFill="1" applyBorder="1" applyAlignment="1">
      <alignment horizontal="center"/>
    </xf>
    <xf numFmtId="165" fontId="14" fillId="8" borderId="33" xfId="0" applyNumberFormat="1" applyFont="1" applyFill="1" applyBorder="1" applyAlignment="1">
      <alignment horizontal="center"/>
    </xf>
    <xf numFmtId="166" fontId="13" fillId="3" borderId="55" xfId="2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38" xfId="0" applyNumberFormat="1" applyFont="1" applyFill="1" applyBorder="1" applyAlignment="1">
      <alignment horizontal="center"/>
    </xf>
    <xf numFmtId="1" fontId="14" fillId="8" borderId="10" xfId="0" applyNumberFormat="1" applyFont="1" applyFill="1" applyBorder="1" applyAlignment="1">
      <alignment horizontal="center"/>
    </xf>
    <xf numFmtId="166" fontId="14" fillId="8" borderId="8" xfId="2" applyNumberFormat="1" applyFont="1" applyFill="1" applyBorder="1" applyAlignment="1">
      <alignment horizontal="center"/>
    </xf>
    <xf numFmtId="166" fontId="14" fillId="8" borderId="7" xfId="2" applyNumberFormat="1" applyFont="1" applyFill="1" applyBorder="1" applyAlignment="1">
      <alignment horizontal="center"/>
    </xf>
    <xf numFmtId="166" fontId="13" fillId="3" borderId="42" xfId="2" applyNumberFormat="1" applyFont="1" applyFill="1" applyBorder="1" applyAlignment="1">
      <alignment horizontal="center"/>
    </xf>
    <xf numFmtId="166" fontId="13" fillId="3" borderId="31" xfId="2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6" fontId="14" fillId="8" borderId="7" xfId="0" applyNumberFormat="1" applyFont="1" applyFill="1" applyBorder="1" applyAlignment="1">
      <alignment horizontal="center"/>
    </xf>
    <xf numFmtId="6" fontId="14" fillId="8" borderId="20" xfId="0" applyNumberFormat="1" applyFont="1" applyFill="1" applyBorder="1" applyAlignment="1">
      <alignment horizontal="center"/>
    </xf>
    <xf numFmtId="166" fontId="14" fillId="8" borderId="20" xfId="2" applyNumberFormat="1" applyFont="1" applyFill="1" applyBorder="1" applyAlignment="1">
      <alignment horizontal="center"/>
    </xf>
    <xf numFmtId="1" fontId="14" fillId="8" borderId="23" xfId="0" applyNumberFormat="1" applyFont="1" applyFill="1" applyBorder="1" applyAlignment="1">
      <alignment horizontal="center"/>
    </xf>
    <xf numFmtId="6" fontId="14" fillId="8" borderId="8" xfId="0" applyNumberFormat="1" applyFont="1" applyFill="1" applyBorder="1" applyAlignment="1">
      <alignment horizontal="center"/>
    </xf>
    <xf numFmtId="166" fontId="13" fillId="8" borderId="28" xfId="2" applyNumberFormat="1" applyFont="1" applyFill="1" applyBorder="1" applyAlignment="1">
      <alignment horizontal="center"/>
    </xf>
    <xf numFmtId="166" fontId="13" fillId="8" borderId="27" xfId="2" applyNumberFormat="1" applyFont="1" applyFill="1" applyBorder="1" applyAlignment="1">
      <alignment horizontal="center"/>
    </xf>
    <xf numFmtId="165" fontId="14" fillId="8" borderId="35" xfId="0" applyNumberFormat="1" applyFont="1" applyFill="1" applyBorder="1" applyAlignment="1">
      <alignment horizontal="center"/>
    </xf>
    <xf numFmtId="166" fontId="13" fillId="8" borderId="30" xfId="2" applyNumberFormat="1" applyFont="1" applyFill="1" applyBorder="1" applyAlignment="1">
      <alignment horizontal="center"/>
    </xf>
    <xf numFmtId="166" fontId="13" fillId="3" borderId="32" xfId="2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>
      <alignment horizontal="center"/>
    </xf>
    <xf numFmtId="1" fontId="14" fillId="8" borderId="54" xfId="0" applyNumberFormat="1" applyFont="1" applyFill="1" applyBorder="1" applyAlignment="1">
      <alignment horizontal="center"/>
    </xf>
    <xf numFmtId="166" fontId="13" fillId="3" borderId="53" xfId="2" applyNumberFormat="1" applyFont="1" applyFill="1" applyBorder="1" applyAlignment="1">
      <alignment horizontal="center"/>
    </xf>
    <xf numFmtId="166" fontId="13" fillId="3" borderId="36" xfId="2" applyNumberFormat="1" applyFont="1" applyFill="1" applyBorder="1" applyAlignment="1">
      <alignment horizontal="center"/>
    </xf>
    <xf numFmtId="166" fontId="13" fillId="3" borderId="37" xfId="2" applyNumberFormat="1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1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21" xfId="0" applyNumberFormat="1" applyFont="1" applyFill="1" applyBorder="1" applyAlignment="1" applyProtection="1">
      <alignment horizontal="center"/>
      <protection locked="0"/>
    </xf>
    <xf numFmtId="166" fontId="13" fillId="8" borderId="36" xfId="0" applyNumberFormat="1" applyFont="1" applyFill="1" applyBorder="1" applyAlignment="1">
      <alignment horizontal="center"/>
    </xf>
    <xf numFmtId="166" fontId="13" fillId="8" borderId="37" xfId="0" applyNumberFormat="1" applyFont="1" applyFill="1" applyBorder="1" applyAlignment="1">
      <alignment horizontal="center"/>
    </xf>
    <xf numFmtId="166" fontId="13" fillId="8" borderId="53" xfId="0" applyNumberFormat="1" applyFont="1" applyFill="1" applyBorder="1" applyAlignment="1">
      <alignment horizontal="center"/>
    </xf>
    <xf numFmtId="1" fontId="14" fillId="8" borderId="50" xfId="0" applyNumberFormat="1" applyFont="1" applyFill="1" applyBorder="1" applyAlignment="1" applyProtection="1">
      <alignment horizontal="center"/>
      <protection locked="0"/>
    </xf>
    <xf numFmtId="0" fontId="14" fillId="8" borderId="59" xfId="0" applyFont="1" applyFill="1" applyBorder="1" applyAlignment="1">
      <alignment horizontal="center"/>
    </xf>
    <xf numFmtId="166" fontId="13" fillId="8" borderId="39" xfId="0" applyNumberFormat="1" applyFont="1" applyFill="1" applyBorder="1" applyAlignment="1">
      <alignment horizontal="center"/>
    </xf>
    <xf numFmtId="1" fontId="14" fillId="8" borderId="61" xfId="0" applyNumberFormat="1" applyFont="1" applyFill="1" applyBorder="1" applyAlignment="1" applyProtection="1">
      <alignment horizontal="center"/>
      <protection locked="0"/>
    </xf>
    <xf numFmtId="1" fontId="14" fillId="8" borderId="5" xfId="0" applyNumberFormat="1" applyFont="1" applyFill="1" applyBorder="1" applyAlignment="1" applyProtection="1">
      <alignment horizontal="center"/>
      <protection locked="0"/>
    </xf>
    <xf numFmtId="166" fontId="13" fillId="8" borderId="69" xfId="0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>
      <alignment horizontal="center"/>
    </xf>
    <xf numFmtId="166" fontId="13" fillId="3" borderId="39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0" fontId="13" fillId="14" borderId="50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20" fillId="14" borderId="51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13" fillId="8" borderId="62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6" fontId="13" fillId="3" borderId="40" xfId="2" applyNumberFormat="1" applyFont="1" applyFill="1" applyBorder="1" applyAlignment="1">
      <alignment horizontal="center"/>
    </xf>
    <xf numFmtId="166" fontId="13" fillId="8" borderId="29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>
      <alignment horizontal="center"/>
    </xf>
    <xf numFmtId="1" fontId="14" fillId="8" borderId="58" xfId="0" applyNumberFormat="1" applyFont="1" applyFill="1" applyBorder="1" applyAlignment="1">
      <alignment horizontal="center"/>
    </xf>
    <xf numFmtId="166" fontId="13" fillId="3" borderId="69" xfId="2" applyNumberFormat="1" applyFont="1" applyFill="1" applyBorder="1" applyAlignment="1">
      <alignment horizontal="center"/>
    </xf>
    <xf numFmtId="166" fontId="13" fillId="3" borderId="70" xfId="2" applyNumberFormat="1" applyFont="1" applyFill="1" applyBorder="1" applyAlignment="1">
      <alignment horizontal="center"/>
    </xf>
    <xf numFmtId="166" fontId="13" fillId="8" borderId="64" xfId="2" applyNumberFormat="1" applyFont="1" applyFill="1" applyBorder="1" applyAlignment="1">
      <alignment horizontal="center"/>
    </xf>
    <xf numFmtId="166" fontId="13" fillId="8" borderId="65" xfId="2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left"/>
    </xf>
    <xf numFmtId="166" fontId="14" fillId="8" borderId="59" xfId="2" applyNumberFormat="1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1" fontId="14" fillId="8" borderId="62" xfId="0" applyNumberFormat="1" applyFont="1" applyFill="1" applyBorder="1" applyAlignment="1">
      <alignment horizontal="center"/>
    </xf>
    <xf numFmtId="166" fontId="13" fillId="3" borderId="71" xfId="2" applyNumberFormat="1" applyFont="1" applyFill="1" applyBorder="1" applyAlignment="1">
      <alignment horizontal="center"/>
    </xf>
    <xf numFmtId="166" fontId="13" fillId="3" borderId="72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>
      <alignment horizontal="center"/>
    </xf>
    <xf numFmtId="1" fontId="14" fillId="8" borderId="68" xfId="0" applyNumberFormat="1" applyFont="1" applyFill="1" applyBorder="1" applyAlignment="1">
      <alignment horizontal="center"/>
    </xf>
    <xf numFmtId="166" fontId="14" fillId="8" borderId="60" xfId="2" applyNumberFormat="1" applyFont="1" applyFill="1" applyBorder="1" applyAlignment="1">
      <alignment horizontal="center"/>
    </xf>
    <xf numFmtId="1" fontId="14" fillId="8" borderId="41" xfId="0" applyNumberFormat="1" applyFont="1" applyFill="1" applyBorder="1" applyAlignment="1">
      <alignment horizontal="center"/>
    </xf>
    <xf numFmtId="166" fontId="14" fillId="8" borderId="16" xfId="2" applyNumberFormat="1" applyFont="1" applyFill="1" applyBorder="1" applyAlignment="1">
      <alignment horizontal="center"/>
    </xf>
    <xf numFmtId="166" fontId="13" fillId="3" borderId="43" xfId="2" applyNumberFormat="1" applyFont="1" applyFill="1" applyBorder="1" applyAlignment="1">
      <alignment horizontal="center"/>
    </xf>
    <xf numFmtId="166" fontId="13" fillId="8" borderId="70" xfId="0" applyNumberFormat="1" applyFont="1" applyFill="1" applyBorder="1" applyAlignment="1">
      <alignment horizontal="center"/>
    </xf>
    <xf numFmtId="166" fontId="13" fillId="8" borderId="43" xfId="0" applyNumberFormat="1" applyFont="1" applyFill="1" applyBorder="1" applyAlignment="1">
      <alignment horizontal="center"/>
    </xf>
    <xf numFmtId="0" fontId="20" fillId="14" borderId="62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166" fontId="13" fillId="8" borderId="45" xfId="0" applyNumberFormat="1" applyFont="1" applyFill="1" applyBorder="1" applyAlignment="1">
      <alignment horizontal="center"/>
    </xf>
    <xf numFmtId="166" fontId="13" fillId="8" borderId="46" xfId="0" applyNumberFormat="1" applyFont="1" applyFill="1" applyBorder="1" applyAlignment="1">
      <alignment horizontal="center"/>
    </xf>
    <xf numFmtId="1" fontId="14" fillId="8" borderId="63" xfId="0" applyNumberFormat="1" applyFont="1" applyFill="1" applyBorder="1" applyAlignment="1" applyProtection="1">
      <alignment horizontal="center"/>
      <protection locked="0"/>
    </xf>
    <xf numFmtId="1" fontId="14" fillId="8" borderId="44" xfId="0" applyNumberFormat="1" applyFont="1" applyFill="1" applyBorder="1" applyAlignment="1" applyProtection="1">
      <alignment horizontal="center"/>
      <protection locked="0"/>
    </xf>
    <xf numFmtId="0" fontId="1" fillId="8" borderId="0" xfId="0" applyFont="1" applyFill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top"/>
    </xf>
    <xf numFmtId="0" fontId="17" fillId="8" borderId="0" xfId="0" applyFont="1" applyFill="1" applyBorder="1" applyAlignment="1">
      <alignment horizontal="center" vertical="top"/>
    </xf>
    <xf numFmtId="0" fontId="17" fillId="8" borderId="15" xfId="0" applyFont="1" applyFill="1" applyBorder="1" applyAlignment="1">
      <alignment horizontal="center" vertical="top"/>
    </xf>
    <xf numFmtId="0" fontId="14" fillId="8" borderId="0" xfId="0" applyFont="1" applyFill="1" applyAlignment="1">
      <alignment horizontal="left"/>
    </xf>
    <xf numFmtId="0" fontId="14" fillId="8" borderId="0" xfId="0" quotePrefix="1" applyFont="1" applyFill="1" applyAlignment="1">
      <alignment horizontal="left"/>
    </xf>
    <xf numFmtId="0" fontId="6" fillId="8" borderId="7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49" fontId="3" fillId="12" borderId="10" xfId="0" applyNumberFormat="1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</cellXfs>
  <cellStyles count="13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3" builtinId="8"/>
    <cellStyle name="Normal" xfId="0" builtinId="0"/>
    <cellStyle name="Percent" xfId="4" builtinId="5"/>
  </cellStyles>
  <dxfs count="9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66FF"/>
      <color rgb="FF33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Prices!$C$7:$C$21</c:f>
              <c:numCache>
                <c:formatCode>_("$"* #,##0_);_("$"* \(#,##0\);_("$"* "-"??_);_(@_)</c:formatCode>
                <c:ptCount val="15"/>
                <c:pt idx="0">
                  <c:v>326.08253649903276</c:v>
                </c:pt>
                <c:pt idx="1">
                  <c:v>338.8484939458412</c:v>
                </c:pt>
                <c:pt idx="2">
                  <c:v>351.61445139264976</c:v>
                </c:pt>
                <c:pt idx="3">
                  <c:v>364.38040883945831</c:v>
                </c:pt>
                <c:pt idx="4">
                  <c:v>377.14636628626681</c:v>
                </c:pt>
                <c:pt idx="5">
                  <c:v>389.91232373307531</c:v>
                </c:pt>
                <c:pt idx="6">
                  <c:v>402.67828117988387</c:v>
                </c:pt>
                <c:pt idx="7">
                  <c:v>415.44423862669237</c:v>
                </c:pt>
                <c:pt idx="8">
                  <c:v>428.21019607350092</c:v>
                </c:pt>
                <c:pt idx="9">
                  <c:v>440.97615352030942</c:v>
                </c:pt>
                <c:pt idx="10">
                  <c:v>453.74211096711792</c:v>
                </c:pt>
                <c:pt idx="11">
                  <c:v>466.50806841392642</c:v>
                </c:pt>
                <c:pt idx="12">
                  <c:v>479.27402586073498</c:v>
                </c:pt>
                <c:pt idx="13">
                  <c:v>492.03998330754342</c:v>
                </c:pt>
                <c:pt idx="14">
                  <c:v>504.80594075435204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A0-4511-9B36-F044D1A8B389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Prices!$C$28:$C$42</c:f>
              <c:numCache>
                <c:formatCode>_("$"* #,##0_);_("$"* \(#,##0\);_("$"* "-"??_);_(@_)</c:formatCode>
                <c:ptCount val="15"/>
                <c:pt idx="0">
                  <c:v>309.49648245320856</c:v>
                </c:pt>
                <c:pt idx="1">
                  <c:v>320.52589421791441</c:v>
                </c:pt>
                <c:pt idx="2">
                  <c:v>331.55530598262027</c:v>
                </c:pt>
                <c:pt idx="3">
                  <c:v>342.58471774732618</c:v>
                </c:pt>
                <c:pt idx="4">
                  <c:v>353.61412951203209</c:v>
                </c:pt>
                <c:pt idx="5">
                  <c:v>364.64354127673795</c:v>
                </c:pt>
                <c:pt idx="6">
                  <c:v>375.6729530414438</c:v>
                </c:pt>
                <c:pt idx="7">
                  <c:v>386.70236480614977</c:v>
                </c:pt>
                <c:pt idx="8">
                  <c:v>397.73177657085569</c:v>
                </c:pt>
                <c:pt idx="9">
                  <c:v>408.76118833556154</c:v>
                </c:pt>
                <c:pt idx="10">
                  <c:v>419.7906001002674</c:v>
                </c:pt>
                <c:pt idx="11">
                  <c:v>430.82001186497331</c:v>
                </c:pt>
                <c:pt idx="12">
                  <c:v>441.84942362967917</c:v>
                </c:pt>
                <c:pt idx="13">
                  <c:v>452.87883539438513</c:v>
                </c:pt>
                <c:pt idx="14">
                  <c:v>463.90824715909099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A0-4511-9B36-F044D1A8B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2624"/>
        <c:axId val="91404544"/>
      </c:lineChart>
      <c:catAx>
        <c:axId val="9140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404544"/>
        <c:crosses val="autoZero"/>
        <c:auto val="1"/>
        <c:lblAlgn val="ctr"/>
        <c:lblOffset val="100"/>
        <c:noMultiLvlLbl val="0"/>
      </c:catAx>
      <c:valAx>
        <c:axId val="91404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40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4568885411099"/>
          <c:y val="0.70227875361733605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Yields*</a:t>
            </a:r>
          </a:p>
        </c:rich>
      </c:tx>
      <c:layout>
        <c:manualLayout>
          <c:xMode val="edge"/>
          <c:yMode val="edge"/>
          <c:x val="0.127752796486474"/>
          <c:y val="5.89456119309589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7.0500000000000025</c:v>
                </c:pt>
                <c:pt idx="1">
                  <c:v>7.4000000000000021</c:v>
                </c:pt>
                <c:pt idx="2">
                  <c:v>7.7500000000000018</c:v>
                </c:pt>
                <c:pt idx="3">
                  <c:v>8.1000000000000014</c:v>
                </c:pt>
                <c:pt idx="4">
                  <c:v>8.4500000000000011</c:v>
                </c:pt>
                <c:pt idx="5">
                  <c:v>8.8000000000000007</c:v>
                </c:pt>
                <c:pt idx="6">
                  <c:v>9.15</c:v>
                </c:pt>
                <c:pt idx="7">
                  <c:v>9.5</c:v>
                </c:pt>
                <c:pt idx="8">
                  <c:v>9.85</c:v>
                </c:pt>
                <c:pt idx="9">
                  <c:v>10.199999999999999</c:v>
                </c:pt>
                <c:pt idx="10">
                  <c:v>10.549999999999999</c:v>
                </c:pt>
                <c:pt idx="11">
                  <c:v>10.899999999999999</c:v>
                </c:pt>
                <c:pt idx="12">
                  <c:v>11.249999999999998</c:v>
                </c:pt>
                <c:pt idx="13">
                  <c:v>11.599999999999998</c:v>
                </c:pt>
                <c:pt idx="14">
                  <c:v>11.949999999999998</c:v>
                </c:pt>
              </c:numCache>
            </c:numRef>
          </c:cat>
          <c:val>
            <c:numRef>
              <c:f>Prices!$Q$7:$Q$21</c:f>
              <c:numCache>
                <c:formatCode>_("$"* #,##0.00_);_("$"* \(#,##0.00\);_("$"* "-"??_);_(@_)</c:formatCode>
                <c:ptCount val="15"/>
                <c:pt idx="0">
                  <c:v>0.56108130489772745</c:v>
                </c:pt>
                <c:pt idx="1">
                  <c:v>0.57858130489772752</c:v>
                </c:pt>
                <c:pt idx="2">
                  <c:v>0.59608130489772748</c:v>
                </c:pt>
                <c:pt idx="3">
                  <c:v>0.61358130489772744</c:v>
                </c:pt>
                <c:pt idx="4">
                  <c:v>0.6310813048977274</c:v>
                </c:pt>
                <c:pt idx="5">
                  <c:v>0.64858130489772725</c:v>
                </c:pt>
                <c:pt idx="6">
                  <c:v>0.66608130489772732</c:v>
                </c:pt>
                <c:pt idx="7">
                  <c:v>0.68358130489772728</c:v>
                </c:pt>
                <c:pt idx="8">
                  <c:v>0.70108130489772724</c:v>
                </c:pt>
                <c:pt idx="9">
                  <c:v>0.71858130489772731</c:v>
                </c:pt>
                <c:pt idx="10">
                  <c:v>0.73608130489772727</c:v>
                </c:pt>
                <c:pt idx="11">
                  <c:v>0.75358130489772723</c:v>
                </c:pt>
                <c:pt idx="12">
                  <c:v>0.7710813048977273</c:v>
                </c:pt>
                <c:pt idx="13">
                  <c:v>0.78858130489772726</c:v>
                </c:pt>
                <c:pt idx="14">
                  <c:v>0.80608130489772734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F7-492D-9963-9E6B334ECA9D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7.0500000000000025</c:v>
                </c:pt>
                <c:pt idx="1">
                  <c:v>7.4000000000000021</c:v>
                </c:pt>
                <c:pt idx="2">
                  <c:v>7.7500000000000018</c:v>
                </c:pt>
                <c:pt idx="3">
                  <c:v>8.1000000000000014</c:v>
                </c:pt>
                <c:pt idx="4">
                  <c:v>8.4500000000000011</c:v>
                </c:pt>
                <c:pt idx="5">
                  <c:v>8.8000000000000007</c:v>
                </c:pt>
                <c:pt idx="6">
                  <c:v>9.15</c:v>
                </c:pt>
                <c:pt idx="7">
                  <c:v>9.5</c:v>
                </c:pt>
                <c:pt idx="8">
                  <c:v>9.85</c:v>
                </c:pt>
                <c:pt idx="9">
                  <c:v>10.199999999999999</c:v>
                </c:pt>
                <c:pt idx="10">
                  <c:v>10.549999999999999</c:v>
                </c:pt>
                <c:pt idx="11">
                  <c:v>10.899999999999999</c:v>
                </c:pt>
                <c:pt idx="12">
                  <c:v>11.249999999999998</c:v>
                </c:pt>
                <c:pt idx="13">
                  <c:v>11.599999999999998</c:v>
                </c:pt>
                <c:pt idx="14">
                  <c:v>11.949999999999998</c:v>
                </c:pt>
              </c:numCache>
            </c:numRef>
          </c:cat>
          <c:val>
            <c:numRef>
              <c:f>Prices!$Q$28:$Q$42</c:f>
              <c:numCache>
                <c:formatCode>_("$"* #,##0.00_);_("$"* \(#,##0.00\);_("$"* "-"??_);_(@_)</c:formatCode>
                <c:ptCount val="15"/>
                <c:pt idx="0">
                  <c:v>0.56775362453939393</c:v>
                </c:pt>
                <c:pt idx="1">
                  <c:v>0.58175362453939394</c:v>
                </c:pt>
                <c:pt idx="2">
                  <c:v>0.59575362453939396</c:v>
                </c:pt>
                <c:pt idx="3">
                  <c:v>0.60975362453939397</c:v>
                </c:pt>
                <c:pt idx="4">
                  <c:v>0.62375362453939398</c:v>
                </c:pt>
                <c:pt idx="5">
                  <c:v>0.63775362453939388</c:v>
                </c:pt>
                <c:pt idx="6">
                  <c:v>0.65175362453939389</c:v>
                </c:pt>
                <c:pt idx="7">
                  <c:v>0.66575362453939391</c:v>
                </c:pt>
                <c:pt idx="8">
                  <c:v>0.67975362453939392</c:v>
                </c:pt>
                <c:pt idx="9">
                  <c:v>0.69375362453939393</c:v>
                </c:pt>
                <c:pt idx="10">
                  <c:v>0.70775362453939383</c:v>
                </c:pt>
                <c:pt idx="11">
                  <c:v>0.72175362453939385</c:v>
                </c:pt>
                <c:pt idx="12">
                  <c:v>0.73575362453939386</c:v>
                </c:pt>
                <c:pt idx="13">
                  <c:v>0.74975362453939387</c:v>
                </c:pt>
                <c:pt idx="14">
                  <c:v>0.76375362453939377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F7-492D-9963-9E6B334EC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6880"/>
        <c:axId val="28685440"/>
      </c:lineChart>
      <c:catAx>
        <c:axId val="2866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685440"/>
        <c:crosses val="autoZero"/>
        <c:auto val="1"/>
        <c:lblAlgn val="ctr"/>
        <c:lblOffset val="100"/>
        <c:noMultiLvlLbl val="0"/>
      </c:catAx>
      <c:valAx>
        <c:axId val="28685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666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6365647561"/>
          <c:y val="0.68816070176658395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6126584923153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7.0500000000000025</c:v>
                </c:pt>
                <c:pt idx="1">
                  <c:v>7.4000000000000021</c:v>
                </c:pt>
                <c:pt idx="2">
                  <c:v>7.7500000000000018</c:v>
                </c:pt>
                <c:pt idx="3">
                  <c:v>8.1000000000000014</c:v>
                </c:pt>
                <c:pt idx="4">
                  <c:v>8.4500000000000011</c:v>
                </c:pt>
                <c:pt idx="5">
                  <c:v>8.8000000000000007</c:v>
                </c:pt>
                <c:pt idx="6">
                  <c:v>9.15</c:v>
                </c:pt>
                <c:pt idx="7">
                  <c:v>9.5</c:v>
                </c:pt>
                <c:pt idx="8">
                  <c:v>9.85</c:v>
                </c:pt>
                <c:pt idx="9">
                  <c:v>10.199999999999999</c:v>
                </c:pt>
                <c:pt idx="10">
                  <c:v>10.549999999999999</c:v>
                </c:pt>
                <c:pt idx="11">
                  <c:v>10.899999999999999</c:v>
                </c:pt>
                <c:pt idx="12">
                  <c:v>11.249999999999998</c:v>
                </c:pt>
                <c:pt idx="13">
                  <c:v>11.599999999999998</c:v>
                </c:pt>
                <c:pt idx="14">
                  <c:v>11.949999999999998</c:v>
                </c:pt>
              </c:numCache>
            </c:numRef>
          </c:cat>
          <c:val>
            <c:numRef>
              <c:f>Prices!$R$7:$R$21</c:f>
              <c:numCache>
                <c:formatCode>_("$"* #,##0_);_("$"* \(#,##0\);_("$"* "-"??_);_(@_)</c:formatCode>
                <c:ptCount val="15"/>
                <c:pt idx="0">
                  <c:v>344.50703261702131</c:v>
                </c:pt>
                <c:pt idx="1">
                  <c:v>353.44320282978731</c:v>
                </c:pt>
                <c:pt idx="2">
                  <c:v>362.37937304255325</c:v>
                </c:pt>
                <c:pt idx="3">
                  <c:v>371.3155432553192</c:v>
                </c:pt>
                <c:pt idx="4">
                  <c:v>380.25171346808514</c:v>
                </c:pt>
                <c:pt idx="5">
                  <c:v>389.18788368085097</c:v>
                </c:pt>
                <c:pt idx="6">
                  <c:v>398.12405389361697</c:v>
                </c:pt>
                <c:pt idx="7">
                  <c:v>407.06022410638292</c:v>
                </c:pt>
                <c:pt idx="8">
                  <c:v>415.99639431914886</c:v>
                </c:pt>
                <c:pt idx="9">
                  <c:v>424.93256453191486</c:v>
                </c:pt>
                <c:pt idx="10">
                  <c:v>433.86873474468081</c:v>
                </c:pt>
                <c:pt idx="11">
                  <c:v>442.80490495744675</c:v>
                </c:pt>
                <c:pt idx="12">
                  <c:v>451.74107517021275</c:v>
                </c:pt>
                <c:pt idx="13">
                  <c:v>460.67724538297864</c:v>
                </c:pt>
                <c:pt idx="14">
                  <c:v>469.61341559574464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AF-48DC-BCC0-C7EE33078D3E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7.0500000000000025</c:v>
                </c:pt>
                <c:pt idx="1">
                  <c:v>7.4000000000000021</c:v>
                </c:pt>
                <c:pt idx="2">
                  <c:v>7.7500000000000018</c:v>
                </c:pt>
                <c:pt idx="3">
                  <c:v>8.1000000000000014</c:v>
                </c:pt>
                <c:pt idx="4">
                  <c:v>8.4500000000000011</c:v>
                </c:pt>
                <c:pt idx="5">
                  <c:v>8.8000000000000007</c:v>
                </c:pt>
                <c:pt idx="6">
                  <c:v>9.15</c:v>
                </c:pt>
                <c:pt idx="7">
                  <c:v>9.5</c:v>
                </c:pt>
                <c:pt idx="8">
                  <c:v>9.85</c:v>
                </c:pt>
                <c:pt idx="9">
                  <c:v>10.199999999999999</c:v>
                </c:pt>
                <c:pt idx="10">
                  <c:v>10.549999999999999</c:v>
                </c:pt>
                <c:pt idx="11">
                  <c:v>10.899999999999999</c:v>
                </c:pt>
                <c:pt idx="12">
                  <c:v>11.249999999999998</c:v>
                </c:pt>
                <c:pt idx="13">
                  <c:v>11.599999999999998</c:v>
                </c:pt>
                <c:pt idx="14">
                  <c:v>11.949999999999998</c:v>
                </c:pt>
              </c:numCache>
            </c:numRef>
          </c:cat>
          <c:val>
            <c:numRef>
              <c:f>Prices!$R$28:$R$42</c:f>
              <c:numCache>
                <c:formatCode>_("$"* #,##0_);_("$"* \(#,##0\);_("$"* "-"??_);_(@_)</c:formatCode>
                <c:ptCount val="15"/>
                <c:pt idx="0">
                  <c:v>328.35837563235299</c:v>
                </c:pt>
                <c:pt idx="1">
                  <c:v>334.53484622058829</c:v>
                </c:pt>
                <c:pt idx="2">
                  <c:v>340.7113168088236</c:v>
                </c:pt>
                <c:pt idx="3">
                  <c:v>346.8877873970589</c:v>
                </c:pt>
                <c:pt idx="4">
                  <c:v>353.06425798529415</c:v>
                </c:pt>
                <c:pt idx="5">
                  <c:v>359.2407285735294</c:v>
                </c:pt>
                <c:pt idx="6">
                  <c:v>365.4171991617647</c:v>
                </c:pt>
                <c:pt idx="7">
                  <c:v>371.59366974999995</c:v>
                </c:pt>
                <c:pt idx="8">
                  <c:v>377.77014033823531</c:v>
                </c:pt>
                <c:pt idx="9">
                  <c:v>383.94661092647061</c:v>
                </c:pt>
                <c:pt idx="10">
                  <c:v>390.12308151470586</c:v>
                </c:pt>
                <c:pt idx="11">
                  <c:v>396.29955210294116</c:v>
                </c:pt>
                <c:pt idx="12">
                  <c:v>402.47602269117641</c:v>
                </c:pt>
                <c:pt idx="13">
                  <c:v>408.65249327941171</c:v>
                </c:pt>
                <c:pt idx="14">
                  <c:v>414.82896386764708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AF-48DC-BCC0-C7EE33078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45728"/>
        <c:axId val="28747648"/>
      </c:lineChart>
      <c:catAx>
        <c:axId val="2874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747648"/>
        <c:crosses val="autoZero"/>
        <c:auto val="1"/>
        <c:lblAlgn val="ctr"/>
        <c:lblOffset val="100"/>
        <c:noMultiLvlLbl val="0"/>
      </c:catAx>
      <c:valAx>
        <c:axId val="28747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74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752353716979"/>
          <c:y val="0.6968599892755340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 to Soybean at Budgeted Yields *</a:t>
            </a:r>
          </a:p>
        </c:rich>
      </c:tx>
      <c:layout>
        <c:manualLayout>
          <c:xMode val="edge"/>
          <c:yMode val="edge"/>
          <c:x val="0.1137669095710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7.0500000000000025</c:v>
                </c:pt>
                <c:pt idx="1">
                  <c:v>7.4000000000000021</c:v>
                </c:pt>
                <c:pt idx="2">
                  <c:v>7.7500000000000018</c:v>
                </c:pt>
                <c:pt idx="3">
                  <c:v>8.1000000000000014</c:v>
                </c:pt>
                <c:pt idx="4">
                  <c:v>8.4500000000000011</c:v>
                </c:pt>
                <c:pt idx="5">
                  <c:v>8.8000000000000007</c:v>
                </c:pt>
                <c:pt idx="6">
                  <c:v>9.15</c:v>
                </c:pt>
                <c:pt idx="7">
                  <c:v>9.5</c:v>
                </c:pt>
                <c:pt idx="8">
                  <c:v>9.85</c:v>
                </c:pt>
                <c:pt idx="9">
                  <c:v>10.199999999999999</c:v>
                </c:pt>
                <c:pt idx="10">
                  <c:v>10.549999999999999</c:v>
                </c:pt>
                <c:pt idx="11">
                  <c:v>10.899999999999999</c:v>
                </c:pt>
                <c:pt idx="12">
                  <c:v>11.249999999999998</c:v>
                </c:pt>
                <c:pt idx="13">
                  <c:v>11.599999999999998</c:v>
                </c:pt>
                <c:pt idx="14">
                  <c:v>11.949999999999998</c:v>
                </c:pt>
              </c:numCache>
            </c:numRef>
          </c:cat>
          <c:val>
            <c:numRef>
              <c:f>Prices!$S$7:$S$21</c:f>
              <c:numCache>
                <c:formatCode>_("$"* #,##0.00_);_("$"* \(#,##0.00\);_("$"* "-"??_);_(@_)</c:formatCode>
                <c:ptCount val="15"/>
                <c:pt idx="0">
                  <c:v>3.6717531332500011</c:v>
                </c:pt>
                <c:pt idx="1">
                  <c:v>3.7767531332500006</c:v>
                </c:pt>
                <c:pt idx="2">
                  <c:v>3.8817531332500006</c:v>
                </c:pt>
                <c:pt idx="3">
                  <c:v>3.9867531332500006</c:v>
                </c:pt>
                <c:pt idx="4">
                  <c:v>4.0917531332500001</c:v>
                </c:pt>
                <c:pt idx="5">
                  <c:v>4.1967531332500005</c:v>
                </c:pt>
                <c:pt idx="6">
                  <c:v>4.3017531332500001</c:v>
                </c:pt>
                <c:pt idx="7">
                  <c:v>4.4067531332500005</c:v>
                </c:pt>
                <c:pt idx="8">
                  <c:v>4.51175313325</c:v>
                </c:pt>
                <c:pt idx="9">
                  <c:v>4.6167531332500005</c:v>
                </c:pt>
                <c:pt idx="10">
                  <c:v>4.7217531332499991</c:v>
                </c:pt>
                <c:pt idx="11">
                  <c:v>4.8267531332499996</c:v>
                </c:pt>
                <c:pt idx="12">
                  <c:v>4.9317531332499991</c:v>
                </c:pt>
                <c:pt idx="13">
                  <c:v>5.0367531332499995</c:v>
                </c:pt>
                <c:pt idx="14">
                  <c:v>5.1417531332499991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1C-4BE8-9CF0-A538F620D2B7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  <a:alpha val="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7.0500000000000025</c:v>
                </c:pt>
                <c:pt idx="1">
                  <c:v>7.4000000000000021</c:v>
                </c:pt>
                <c:pt idx="2">
                  <c:v>7.7500000000000018</c:v>
                </c:pt>
                <c:pt idx="3">
                  <c:v>8.1000000000000014</c:v>
                </c:pt>
                <c:pt idx="4">
                  <c:v>8.4500000000000011</c:v>
                </c:pt>
                <c:pt idx="5">
                  <c:v>8.8000000000000007</c:v>
                </c:pt>
                <c:pt idx="6">
                  <c:v>9.15</c:v>
                </c:pt>
                <c:pt idx="7">
                  <c:v>9.5</c:v>
                </c:pt>
                <c:pt idx="8">
                  <c:v>9.85</c:v>
                </c:pt>
                <c:pt idx="9">
                  <c:v>10.199999999999999</c:v>
                </c:pt>
                <c:pt idx="10">
                  <c:v>10.549999999999999</c:v>
                </c:pt>
                <c:pt idx="11">
                  <c:v>10.899999999999999</c:v>
                </c:pt>
                <c:pt idx="12">
                  <c:v>11.249999999999998</c:v>
                </c:pt>
                <c:pt idx="13">
                  <c:v>11.599999999999998</c:v>
                </c:pt>
                <c:pt idx="14">
                  <c:v>11.949999999999998</c:v>
                </c:pt>
              </c:numCache>
            </c:numRef>
          </c:cat>
          <c:val>
            <c:numRef>
              <c:f>Prices!$S$28:$S$42</c:f>
              <c:numCache>
                <c:formatCode>_("$"* #,##0.00_);_("$"* \(#,##0.00\);_("$"* "-"??_);_(@_)</c:formatCode>
                <c:ptCount val="15"/>
                <c:pt idx="0">
                  <c:v>3.6367430473529421</c:v>
                </c:pt>
                <c:pt idx="1">
                  <c:v>3.760272459117648</c:v>
                </c:pt>
                <c:pt idx="2">
                  <c:v>3.8838018708823538</c:v>
                </c:pt>
                <c:pt idx="3">
                  <c:v>4.0073312826470593</c:v>
                </c:pt>
                <c:pt idx="4">
                  <c:v>4.1308606944117656</c:v>
                </c:pt>
                <c:pt idx="5">
                  <c:v>4.2543901061764711</c:v>
                </c:pt>
                <c:pt idx="6">
                  <c:v>4.3779195179411765</c:v>
                </c:pt>
                <c:pt idx="7">
                  <c:v>4.5014489297058828</c:v>
                </c:pt>
                <c:pt idx="8">
                  <c:v>4.6249783414705883</c:v>
                </c:pt>
                <c:pt idx="9">
                  <c:v>4.7485077532352946</c:v>
                </c:pt>
                <c:pt idx="10">
                  <c:v>4.8720371649999992</c:v>
                </c:pt>
                <c:pt idx="11">
                  <c:v>4.9955665767647055</c:v>
                </c:pt>
                <c:pt idx="12">
                  <c:v>5.1190959885294109</c:v>
                </c:pt>
                <c:pt idx="13">
                  <c:v>5.2426254002941173</c:v>
                </c:pt>
                <c:pt idx="14">
                  <c:v>5.3661548120588227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1C-4BE8-9CF0-A538F620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37312"/>
        <c:axId val="29039232"/>
      </c:lineChart>
      <c:catAx>
        <c:axId val="2903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039232"/>
        <c:crosses val="autoZero"/>
        <c:auto val="1"/>
        <c:lblAlgn val="ctr"/>
        <c:lblOffset val="100"/>
        <c:noMultiLvlLbl val="0"/>
      </c:catAx>
      <c:valAx>
        <c:axId val="29039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03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Prices!$C$49:$C$63</c:f>
              <c:numCache>
                <c:formatCode>_("$"* #,##0_);_("$"* \(#,##0\);_("$"* "-"??_);_(@_)</c:formatCode>
                <c:ptCount val="15"/>
                <c:pt idx="0">
                  <c:v>317.07737905222427</c:v>
                </c:pt>
                <c:pt idx="1">
                  <c:v>329.84333649903283</c:v>
                </c:pt>
                <c:pt idx="2">
                  <c:v>342.60929394584127</c:v>
                </c:pt>
                <c:pt idx="3">
                  <c:v>355.37525139264989</c:v>
                </c:pt>
                <c:pt idx="4">
                  <c:v>368.14120883945839</c:v>
                </c:pt>
                <c:pt idx="5">
                  <c:v>380.90716628626689</c:v>
                </c:pt>
                <c:pt idx="6">
                  <c:v>393.67312373307539</c:v>
                </c:pt>
                <c:pt idx="7">
                  <c:v>406.439081179884</c:v>
                </c:pt>
                <c:pt idx="8">
                  <c:v>419.20503862669244</c:v>
                </c:pt>
                <c:pt idx="9">
                  <c:v>431.970996073501</c:v>
                </c:pt>
                <c:pt idx="10">
                  <c:v>444.73695352030944</c:v>
                </c:pt>
                <c:pt idx="11">
                  <c:v>457.50291096711794</c:v>
                </c:pt>
                <c:pt idx="12">
                  <c:v>470.26886841392655</c:v>
                </c:pt>
                <c:pt idx="13">
                  <c:v>483.03482586073505</c:v>
                </c:pt>
                <c:pt idx="14">
                  <c:v>495.80078330754367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ED-4BD1-925F-21AE2F5D3F80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Prices!$C$70:$C$84</c:f>
              <c:numCache>
                <c:formatCode>_("$"* #,##0_);_("$"* \(#,##0\);_("$"* "-"??_);_(@_)</c:formatCode>
                <c:ptCount val="15"/>
                <c:pt idx="0">
                  <c:v>297.78914715909082</c:v>
                </c:pt>
                <c:pt idx="1">
                  <c:v>308.81855892379679</c:v>
                </c:pt>
                <c:pt idx="2">
                  <c:v>319.84797068850264</c:v>
                </c:pt>
                <c:pt idx="3">
                  <c:v>330.8773824532085</c:v>
                </c:pt>
                <c:pt idx="4">
                  <c:v>341.90679421791441</c:v>
                </c:pt>
                <c:pt idx="5">
                  <c:v>352.93620598262032</c:v>
                </c:pt>
                <c:pt idx="6">
                  <c:v>363.96561774732618</c:v>
                </c:pt>
                <c:pt idx="7">
                  <c:v>374.99502951203215</c:v>
                </c:pt>
                <c:pt idx="8">
                  <c:v>386.024441276738</c:v>
                </c:pt>
                <c:pt idx="9">
                  <c:v>397.05385304144392</c:v>
                </c:pt>
                <c:pt idx="10">
                  <c:v>408.08326480614977</c:v>
                </c:pt>
                <c:pt idx="11">
                  <c:v>419.11267657085568</c:v>
                </c:pt>
                <c:pt idx="12">
                  <c:v>430.14208833556154</c:v>
                </c:pt>
                <c:pt idx="13">
                  <c:v>441.17150010026751</c:v>
                </c:pt>
                <c:pt idx="14">
                  <c:v>452.20091186497336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ED-4BD1-925F-21AE2F5D3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1120"/>
        <c:axId val="28983296"/>
      </c:lineChart>
      <c:catAx>
        <c:axId val="2898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983296"/>
        <c:crosses val="autoZero"/>
        <c:auto val="1"/>
        <c:lblAlgn val="ctr"/>
        <c:lblOffset val="100"/>
        <c:noMultiLvlLbl val="0"/>
      </c:catAx>
      <c:valAx>
        <c:axId val="28983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981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133059454525"/>
          <c:y val="0.70512775646633896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Prices!$D$70:$D$84</c:f>
              <c:numCache>
                <c:formatCode>_("$"* #,##0.00_);_("$"* \(#,##0.00\);_("$"* "-"??_);_(@_)</c:formatCode>
                <c:ptCount val="15"/>
                <c:pt idx="0">
                  <c:v>3.1390549484759345</c:v>
                </c:pt>
                <c:pt idx="1">
                  <c:v>3.3596431837700527</c:v>
                </c:pt>
                <c:pt idx="2">
                  <c:v>3.5802314190641704</c:v>
                </c:pt>
                <c:pt idx="3">
                  <c:v>3.8008196543582877</c:v>
                </c:pt>
                <c:pt idx="4">
                  <c:v>4.0214078896524059</c:v>
                </c:pt>
                <c:pt idx="5">
                  <c:v>4.2419961249465237</c:v>
                </c:pt>
                <c:pt idx="6">
                  <c:v>4.4625843602406414</c:v>
                </c:pt>
                <c:pt idx="7">
                  <c:v>4.6831725955347601</c:v>
                </c:pt>
                <c:pt idx="8">
                  <c:v>4.9037608308288778</c:v>
                </c:pt>
                <c:pt idx="9">
                  <c:v>5.1243490661229956</c:v>
                </c:pt>
                <c:pt idx="10">
                  <c:v>5.3449373014171124</c:v>
                </c:pt>
                <c:pt idx="11">
                  <c:v>5.5655255367112302</c:v>
                </c:pt>
                <c:pt idx="12">
                  <c:v>5.7861137720053479</c:v>
                </c:pt>
                <c:pt idx="13">
                  <c:v>6.0067020072994675</c:v>
                </c:pt>
                <c:pt idx="14">
                  <c:v>6.2272902425935843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03-4450-B307-4E9B5743679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Prices!$D$49:$D$63</c:f>
              <c:numCache>
                <c:formatCode>_("$"* #,##0.00_);_("$"* \(#,##0.00\);_("$"* "-"??_);_(@_)</c:formatCode>
                <c:ptCount val="15"/>
                <c:pt idx="0">
                  <c:v>3.4012862038636356</c:v>
                </c:pt>
                <c:pt idx="1">
                  <c:v>3.5512862038636355</c:v>
                </c:pt>
                <c:pt idx="2">
                  <c:v>3.7012862038636354</c:v>
                </c:pt>
                <c:pt idx="3">
                  <c:v>3.8512862038636357</c:v>
                </c:pt>
                <c:pt idx="4">
                  <c:v>4.0012862038636356</c:v>
                </c:pt>
                <c:pt idx="5">
                  <c:v>4.151286203863636</c:v>
                </c:pt>
                <c:pt idx="6">
                  <c:v>4.3012862038636364</c:v>
                </c:pt>
                <c:pt idx="7">
                  <c:v>4.4512862038636367</c:v>
                </c:pt>
                <c:pt idx="8">
                  <c:v>4.6012862038636362</c:v>
                </c:pt>
                <c:pt idx="9">
                  <c:v>4.7512862038636365</c:v>
                </c:pt>
                <c:pt idx="10">
                  <c:v>4.9012862038636369</c:v>
                </c:pt>
                <c:pt idx="11">
                  <c:v>5.0512862038636364</c:v>
                </c:pt>
                <c:pt idx="12">
                  <c:v>5.2012862038636376</c:v>
                </c:pt>
                <c:pt idx="13">
                  <c:v>5.351286203863638</c:v>
                </c:pt>
                <c:pt idx="14">
                  <c:v>5.5012862038636374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03-4450-B307-4E9B57436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22848"/>
        <c:axId val="29176576"/>
      </c:lineChart>
      <c:catAx>
        <c:axId val="2902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176576"/>
        <c:crosses val="autoZero"/>
        <c:auto val="1"/>
        <c:lblAlgn val="ctr"/>
        <c:lblOffset val="100"/>
        <c:noMultiLvlLbl val="0"/>
      </c:catAx>
      <c:valAx>
        <c:axId val="29176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022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092639116042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8.60960121920244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Prices!$E$70:$E$84</c:f>
              <c:numCache>
                <c:formatCode>_("$"* #,##0.00_);_("$"* \(#,##0.00\);_("$"* "-"??_);_(@_)</c:formatCode>
                <c:ptCount val="15"/>
                <c:pt idx="0">
                  <c:v>5.9234770531818146</c:v>
                </c:pt>
                <c:pt idx="1">
                  <c:v>6.5484770531818164</c:v>
                </c:pt>
                <c:pt idx="2">
                  <c:v>7.1734770531818164</c:v>
                </c:pt>
                <c:pt idx="3">
                  <c:v>7.7984770531818164</c:v>
                </c:pt>
                <c:pt idx="4">
                  <c:v>8.4234770531818182</c:v>
                </c:pt>
                <c:pt idx="5">
                  <c:v>9.0484770531818182</c:v>
                </c:pt>
                <c:pt idx="6">
                  <c:v>9.6734770531818182</c:v>
                </c:pt>
                <c:pt idx="7">
                  <c:v>10.29847705318182</c:v>
                </c:pt>
                <c:pt idx="8">
                  <c:v>10.92347705318182</c:v>
                </c:pt>
                <c:pt idx="9">
                  <c:v>11.54847705318182</c:v>
                </c:pt>
                <c:pt idx="10">
                  <c:v>12.17347705318182</c:v>
                </c:pt>
                <c:pt idx="11">
                  <c:v>12.79847705318182</c:v>
                </c:pt>
                <c:pt idx="12">
                  <c:v>13.42347705318182</c:v>
                </c:pt>
                <c:pt idx="13">
                  <c:v>14.048477053181823</c:v>
                </c:pt>
                <c:pt idx="14">
                  <c:v>14.673477053181823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3F-49DD-9ED9-3D31F7CC46F0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Prices!$E$49:$E$63</c:f>
              <c:numCache>
                <c:formatCode>_("$"* #,##0.00_);_("$"* \(#,##0.00\);_("$"* "-"??_);_(@_)</c:formatCode>
                <c:ptCount val="15"/>
                <c:pt idx="0">
                  <c:v>6.2923052353787829</c:v>
                </c:pt>
                <c:pt idx="1">
                  <c:v>6.7923052353787829</c:v>
                </c:pt>
                <c:pt idx="2">
                  <c:v>7.2923052353787829</c:v>
                </c:pt>
                <c:pt idx="3">
                  <c:v>7.7923052353787856</c:v>
                </c:pt>
                <c:pt idx="4">
                  <c:v>8.2923052353787856</c:v>
                </c:pt>
                <c:pt idx="5">
                  <c:v>8.7923052353787856</c:v>
                </c:pt>
                <c:pt idx="6">
                  <c:v>9.2923052353787856</c:v>
                </c:pt>
                <c:pt idx="7">
                  <c:v>9.7923052353787874</c:v>
                </c:pt>
                <c:pt idx="8">
                  <c:v>10.292305235378787</c:v>
                </c:pt>
                <c:pt idx="9">
                  <c:v>10.792305235378787</c:v>
                </c:pt>
                <c:pt idx="10">
                  <c:v>11.292305235378787</c:v>
                </c:pt>
                <c:pt idx="11">
                  <c:v>11.792305235378787</c:v>
                </c:pt>
                <c:pt idx="12">
                  <c:v>12.292305235378789</c:v>
                </c:pt>
                <c:pt idx="13">
                  <c:v>12.792305235378789</c:v>
                </c:pt>
                <c:pt idx="14">
                  <c:v>13.292305235378791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3F-49DD-9ED9-3D31F7CC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9936"/>
        <c:axId val="29227648"/>
      </c:lineChart>
      <c:catAx>
        <c:axId val="2883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227648"/>
        <c:crosses val="autoZero"/>
        <c:auto val="1"/>
        <c:lblAlgn val="ctr"/>
        <c:lblOffset val="100"/>
        <c:noMultiLvlLbl val="0"/>
      </c:catAx>
      <c:valAx>
        <c:axId val="29227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3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2370355879401"/>
          <c:y val="0.69167950780345999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8.60960267897547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</c:numCache>
            </c:numRef>
          </c:cat>
          <c:val>
            <c:numRef>
              <c:f>Prices!$G$70:$G$84</c:f>
              <c:numCache>
                <c:formatCode>_("$"* #,##0.00_);_("$"* \(#,##0.00\);_("$"* "-"??_);_(@_)</c:formatCode>
                <c:ptCount val="15"/>
                <c:pt idx="0">
                  <c:v>0.6660112664393939</c:v>
                </c:pt>
                <c:pt idx="1">
                  <c:v>0.68867793310606051</c:v>
                </c:pt>
                <c:pt idx="2">
                  <c:v>0.71134459977272713</c:v>
                </c:pt>
                <c:pt idx="3">
                  <c:v>0.73401126643939385</c:v>
                </c:pt>
                <c:pt idx="4">
                  <c:v>0.75667793310606046</c:v>
                </c:pt>
                <c:pt idx="5">
                  <c:v>0.77934459977272719</c:v>
                </c:pt>
                <c:pt idx="6">
                  <c:v>0.8020112664393938</c:v>
                </c:pt>
                <c:pt idx="7">
                  <c:v>0.82467793310606052</c:v>
                </c:pt>
                <c:pt idx="8">
                  <c:v>0.84734459977272714</c:v>
                </c:pt>
                <c:pt idx="9">
                  <c:v>0.87001126643939386</c:v>
                </c:pt>
                <c:pt idx="10">
                  <c:v>0.89267793310606047</c:v>
                </c:pt>
                <c:pt idx="11">
                  <c:v>0.9153445997727272</c:v>
                </c:pt>
                <c:pt idx="12">
                  <c:v>0.93801126643939381</c:v>
                </c:pt>
                <c:pt idx="13">
                  <c:v>0.96067793310606053</c:v>
                </c:pt>
                <c:pt idx="14">
                  <c:v>0.98334459977272715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7C-416A-B10B-5E6BB12D0D73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</c:numCache>
            </c:numRef>
          </c:cat>
          <c:val>
            <c:numRef>
              <c:f>Prices!$G$49:$G$63</c:f>
              <c:numCache>
                <c:formatCode>_("$"* #,##0.00_);_("$"* \(#,##0.00\);_("$"* "-"??_);_(@_)</c:formatCode>
                <c:ptCount val="15"/>
                <c:pt idx="0">
                  <c:v>0.60905679935606061</c:v>
                </c:pt>
                <c:pt idx="1">
                  <c:v>0.62864013268939389</c:v>
                </c:pt>
                <c:pt idx="2">
                  <c:v>0.64822346602272729</c:v>
                </c:pt>
                <c:pt idx="3">
                  <c:v>0.66780679935606058</c:v>
                </c:pt>
                <c:pt idx="4">
                  <c:v>0.68739013268939397</c:v>
                </c:pt>
                <c:pt idx="5">
                  <c:v>0.70697346602272726</c:v>
                </c:pt>
                <c:pt idx="6">
                  <c:v>0.72655679935606055</c:v>
                </c:pt>
                <c:pt idx="7">
                  <c:v>0.74614013268939394</c:v>
                </c:pt>
                <c:pt idx="8">
                  <c:v>0.76572346602272723</c:v>
                </c:pt>
                <c:pt idx="9">
                  <c:v>0.78530679935606063</c:v>
                </c:pt>
                <c:pt idx="10">
                  <c:v>0.80489013268939391</c:v>
                </c:pt>
                <c:pt idx="11">
                  <c:v>0.82447346602272731</c:v>
                </c:pt>
                <c:pt idx="12">
                  <c:v>0.84405679935606059</c:v>
                </c:pt>
                <c:pt idx="13">
                  <c:v>0.86364013268939399</c:v>
                </c:pt>
                <c:pt idx="14">
                  <c:v>0.88322346602272739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7C-416A-B10B-5E6BB12D0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7664"/>
        <c:axId val="28899584"/>
      </c:lineChart>
      <c:catAx>
        <c:axId val="2889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99584"/>
        <c:crosses val="autoZero"/>
        <c:auto val="1"/>
        <c:lblAlgn val="ctr"/>
        <c:lblOffset val="100"/>
        <c:noMultiLvlLbl val="0"/>
      </c:catAx>
      <c:valAx>
        <c:axId val="28899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97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1499160431"/>
          <c:y val="0.69854308082179395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</c:numCache>
            </c:numRef>
          </c:cat>
          <c:val>
            <c:numRef>
              <c:f>Prices!$I$70:$I$84</c:f>
              <c:numCache>
                <c:formatCode>_("$"* #,##0.00_);_("$"* \(#,##0.00\);_("$"* "-"??_);_(@_)</c:formatCode>
                <c:ptCount val="15"/>
                <c:pt idx="0">
                  <c:v>4.383272005294117</c:v>
                </c:pt>
                <c:pt idx="1">
                  <c:v>4.5832720052941172</c:v>
                </c:pt>
                <c:pt idx="2">
                  <c:v>4.7832720052941173</c:v>
                </c:pt>
                <c:pt idx="3">
                  <c:v>4.9832720052941175</c:v>
                </c:pt>
                <c:pt idx="4">
                  <c:v>5.1832720052941177</c:v>
                </c:pt>
                <c:pt idx="5">
                  <c:v>5.383272005294117</c:v>
                </c:pt>
                <c:pt idx="6">
                  <c:v>5.5832720052941172</c:v>
                </c:pt>
                <c:pt idx="7">
                  <c:v>5.7832720052941173</c:v>
                </c:pt>
                <c:pt idx="8">
                  <c:v>5.9832720052941175</c:v>
                </c:pt>
                <c:pt idx="9">
                  <c:v>6.1832720052941168</c:v>
                </c:pt>
                <c:pt idx="10">
                  <c:v>6.383272005294117</c:v>
                </c:pt>
                <c:pt idx="11">
                  <c:v>6.5832720052941163</c:v>
                </c:pt>
                <c:pt idx="12">
                  <c:v>6.7832720052941164</c:v>
                </c:pt>
                <c:pt idx="13">
                  <c:v>6.9832720052941166</c:v>
                </c:pt>
                <c:pt idx="14">
                  <c:v>7.1832720052941168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23-4065-B288-8907831B06CA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</c:numCache>
            </c:numRef>
          </c:cat>
          <c:val>
            <c:numRef>
              <c:f>Prices!$I$49:$I$63</c:f>
              <c:numCache>
                <c:formatCode>_("$"* #,##0.00_);_("$"* \(#,##0.00\);_("$"* "-"??_);_(@_)</c:formatCode>
                <c:ptCount val="15"/>
                <c:pt idx="0">
                  <c:v>3.905627</c:v>
                </c:pt>
                <c:pt idx="1">
                  <c:v>4.0231269999999997</c:v>
                </c:pt>
                <c:pt idx="2">
                  <c:v>4.1406270000000003</c:v>
                </c:pt>
                <c:pt idx="3">
                  <c:v>4.258127</c:v>
                </c:pt>
                <c:pt idx="4">
                  <c:v>4.3756269999999997</c:v>
                </c:pt>
                <c:pt idx="5">
                  <c:v>4.4931270000000003</c:v>
                </c:pt>
                <c:pt idx="6">
                  <c:v>4.610627</c:v>
                </c:pt>
                <c:pt idx="7">
                  <c:v>4.7281269999999997</c:v>
                </c:pt>
                <c:pt idx="8">
                  <c:v>4.8456270000000004</c:v>
                </c:pt>
                <c:pt idx="9">
                  <c:v>4.9631270000000001</c:v>
                </c:pt>
                <c:pt idx="10">
                  <c:v>5.0806269999999998</c:v>
                </c:pt>
                <c:pt idx="11">
                  <c:v>5.1981269999999995</c:v>
                </c:pt>
                <c:pt idx="12">
                  <c:v>5.3156269999999992</c:v>
                </c:pt>
                <c:pt idx="13">
                  <c:v>5.4331269999999998</c:v>
                </c:pt>
                <c:pt idx="14">
                  <c:v>5.5506269999999995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23-4065-B288-8907831B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27104"/>
        <c:axId val="28929024"/>
      </c:lineChart>
      <c:catAx>
        <c:axId val="2892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929024"/>
        <c:crosses val="autoZero"/>
        <c:auto val="1"/>
        <c:lblAlgn val="ctr"/>
        <c:lblOffset val="100"/>
        <c:noMultiLvlLbl val="0"/>
      </c:catAx>
      <c:valAx>
        <c:axId val="28929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927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6638137624099"/>
          <c:y val="0.69125780613630206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</c:numCache>
            </c:numRef>
          </c:cat>
          <c:val>
            <c:numRef>
              <c:f>Prices!$J$70:$J$84</c:f>
              <c:numCache>
                <c:formatCode>_("$"* #,##0.00_);_("$"* \(#,##0.00\);_("$"* "-"??_);_(@_)</c:formatCode>
                <c:ptCount val="15"/>
                <c:pt idx="0">
                  <c:v>9.4487587141666669</c:v>
                </c:pt>
                <c:pt idx="1">
                  <c:v>10.015425380833333</c:v>
                </c:pt>
                <c:pt idx="2">
                  <c:v>10.5820920475</c:v>
                </c:pt>
                <c:pt idx="3">
                  <c:v>11.148758714166666</c:v>
                </c:pt>
                <c:pt idx="4">
                  <c:v>11.715425380833333</c:v>
                </c:pt>
                <c:pt idx="5">
                  <c:v>12.282092047499999</c:v>
                </c:pt>
                <c:pt idx="6">
                  <c:v>12.848758714166667</c:v>
                </c:pt>
                <c:pt idx="7">
                  <c:v>13.415425380833334</c:v>
                </c:pt>
                <c:pt idx="8">
                  <c:v>13.9820920475</c:v>
                </c:pt>
                <c:pt idx="9">
                  <c:v>14.548758714166667</c:v>
                </c:pt>
                <c:pt idx="10">
                  <c:v>15.115425380833333</c:v>
                </c:pt>
                <c:pt idx="11">
                  <c:v>15.682092047499999</c:v>
                </c:pt>
                <c:pt idx="12">
                  <c:v>16.248758714166666</c:v>
                </c:pt>
                <c:pt idx="13">
                  <c:v>16.815425380833332</c:v>
                </c:pt>
                <c:pt idx="14">
                  <c:v>17.382092047500002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26-41BD-A571-9D65880AD818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</c:numCache>
            </c:numRef>
          </c:cat>
          <c:val>
            <c:numRef>
              <c:f>Prices!$J$49:$J$63</c:f>
              <c:numCache>
                <c:formatCode>_("$"* #,##0.00_);_("$"* \(#,##0.00\);_("$"* "-"??_);_(@_)</c:formatCode>
                <c:ptCount val="15"/>
                <c:pt idx="0">
                  <c:v>7.9734412224999991</c:v>
                </c:pt>
                <c:pt idx="1">
                  <c:v>8.3651078891666657</c:v>
                </c:pt>
                <c:pt idx="2">
                  <c:v>8.7567745558333332</c:v>
                </c:pt>
                <c:pt idx="3">
                  <c:v>9.1484412224999989</c:v>
                </c:pt>
                <c:pt idx="4">
                  <c:v>9.5401078891666664</c:v>
                </c:pt>
                <c:pt idx="5">
                  <c:v>9.9317745558333321</c:v>
                </c:pt>
                <c:pt idx="6">
                  <c:v>10.3234412225</c:v>
                </c:pt>
                <c:pt idx="7">
                  <c:v>10.715107889166665</c:v>
                </c:pt>
                <c:pt idx="8">
                  <c:v>11.106774555833333</c:v>
                </c:pt>
                <c:pt idx="9">
                  <c:v>11.498441222499999</c:v>
                </c:pt>
                <c:pt idx="10">
                  <c:v>11.890107889166666</c:v>
                </c:pt>
                <c:pt idx="11">
                  <c:v>12.281774555833332</c:v>
                </c:pt>
                <c:pt idx="12">
                  <c:v>12.673441222499999</c:v>
                </c:pt>
                <c:pt idx="13">
                  <c:v>13.065107889166665</c:v>
                </c:pt>
                <c:pt idx="14">
                  <c:v>13.456774555833332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26-41BD-A571-9D65880A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9360"/>
        <c:axId val="29777920"/>
      </c:lineChart>
      <c:catAx>
        <c:axId val="2975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777920"/>
        <c:crosses val="autoZero"/>
        <c:auto val="1"/>
        <c:lblAlgn val="ctr"/>
        <c:lblOffset val="100"/>
        <c:noMultiLvlLbl val="0"/>
      </c:catAx>
      <c:valAx>
        <c:axId val="29777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75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9171851377250204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Prices!$L$49:$L$63</c:f>
              <c:numCache>
                <c:formatCode>_("$"* #,##0.00_);_("$"* \(#,##0.00\);_("$"* "-"??_);_(@_)</c:formatCode>
                <c:ptCount val="15"/>
                <c:pt idx="0">
                  <c:v>0.474785632689394</c:v>
                </c:pt>
                <c:pt idx="1">
                  <c:v>0.49978563268939402</c:v>
                </c:pt>
                <c:pt idx="2">
                  <c:v>0.52478563268939404</c:v>
                </c:pt>
                <c:pt idx="3">
                  <c:v>0.54978563268939395</c:v>
                </c:pt>
                <c:pt idx="4">
                  <c:v>0.57478563268939387</c:v>
                </c:pt>
                <c:pt idx="5">
                  <c:v>0.59978563268939389</c:v>
                </c:pt>
                <c:pt idx="6">
                  <c:v>0.62478563268939391</c:v>
                </c:pt>
                <c:pt idx="7">
                  <c:v>0.64978563268939404</c:v>
                </c:pt>
                <c:pt idx="8">
                  <c:v>0.67478563268939407</c:v>
                </c:pt>
                <c:pt idx="9">
                  <c:v>0.69978563268939409</c:v>
                </c:pt>
                <c:pt idx="10">
                  <c:v>0.72478563268939411</c:v>
                </c:pt>
                <c:pt idx="11">
                  <c:v>0.74978563268939424</c:v>
                </c:pt>
                <c:pt idx="12">
                  <c:v>0.77478563268939427</c:v>
                </c:pt>
                <c:pt idx="13">
                  <c:v>0.79978563268939429</c:v>
                </c:pt>
                <c:pt idx="14">
                  <c:v>0.82478563268939431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92-47AE-B8FA-586CF226BD86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Prices!$L$70:$L$84</c:f>
              <c:numCache>
                <c:formatCode>_("$"* #,##0.00_);_("$"* \(#,##0.00\);_("$"* "-"??_);_(@_)</c:formatCode>
                <c:ptCount val="15"/>
                <c:pt idx="0">
                  <c:v>0.52057377250606063</c:v>
                </c:pt>
                <c:pt idx="1">
                  <c:v>0.53757377250606064</c:v>
                </c:pt>
                <c:pt idx="2">
                  <c:v>0.55457377250606066</c:v>
                </c:pt>
                <c:pt idx="3">
                  <c:v>0.57157377250606056</c:v>
                </c:pt>
                <c:pt idx="4">
                  <c:v>0.58857377250606058</c:v>
                </c:pt>
                <c:pt idx="5">
                  <c:v>0.60557377250606059</c:v>
                </c:pt>
                <c:pt idx="6">
                  <c:v>0.6225737725060605</c:v>
                </c:pt>
                <c:pt idx="7">
                  <c:v>0.63957377250606062</c:v>
                </c:pt>
                <c:pt idx="8">
                  <c:v>0.65657377250606064</c:v>
                </c:pt>
                <c:pt idx="9">
                  <c:v>0.67357377250606065</c:v>
                </c:pt>
                <c:pt idx="10">
                  <c:v>0.69057377250606078</c:v>
                </c:pt>
                <c:pt idx="11">
                  <c:v>0.70757377250606079</c:v>
                </c:pt>
                <c:pt idx="12">
                  <c:v>0.72457377250606081</c:v>
                </c:pt>
                <c:pt idx="13">
                  <c:v>0.74157377250606082</c:v>
                </c:pt>
                <c:pt idx="14">
                  <c:v>0.75857377250606073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92-47AE-B8FA-586CF226B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79904"/>
        <c:axId val="29582080"/>
      </c:lineChart>
      <c:catAx>
        <c:axId val="2957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582080"/>
        <c:crosses val="autoZero"/>
        <c:auto val="1"/>
        <c:lblAlgn val="ctr"/>
        <c:lblOffset val="100"/>
        <c:noMultiLvlLbl val="0"/>
      </c:catAx>
      <c:valAx>
        <c:axId val="29582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57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742647840661698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Prices!$D$28:$D$42</c:f>
              <c:numCache>
                <c:formatCode>_("$"* #,##0.00_);_("$"* \(#,##0.00\);_("$"* "-"??_);_(@_)</c:formatCode>
                <c:ptCount val="15"/>
                <c:pt idx="0">
                  <c:v>3.2595051837700519</c:v>
                </c:pt>
                <c:pt idx="1">
                  <c:v>3.4800934190641701</c:v>
                </c:pt>
                <c:pt idx="2">
                  <c:v>3.7006816543582879</c:v>
                </c:pt>
                <c:pt idx="3">
                  <c:v>3.9212698896524056</c:v>
                </c:pt>
                <c:pt idx="4">
                  <c:v>4.1418581249465243</c:v>
                </c:pt>
                <c:pt idx="5">
                  <c:v>4.3624463602406411</c:v>
                </c:pt>
                <c:pt idx="6">
                  <c:v>4.5830345955347589</c:v>
                </c:pt>
                <c:pt idx="7">
                  <c:v>4.8036228308288775</c:v>
                </c:pt>
                <c:pt idx="8">
                  <c:v>5.0242110661229953</c:v>
                </c:pt>
                <c:pt idx="9">
                  <c:v>5.244799301417113</c:v>
                </c:pt>
                <c:pt idx="10">
                  <c:v>5.4653875367112308</c:v>
                </c:pt>
                <c:pt idx="11">
                  <c:v>5.6859757720053477</c:v>
                </c:pt>
                <c:pt idx="12">
                  <c:v>5.9065640072994654</c:v>
                </c:pt>
                <c:pt idx="13">
                  <c:v>6.1271522425935849</c:v>
                </c:pt>
                <c:pt idx="14">
                  <c:v>6.3477404778877027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A3-4C9F-B846-62067A6B428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Prices!$D$7:$D$21</c:f>
              <c:numCache>
                <c:formatCode>_("$"* #,##0.00_);_("$"* \(#,##0.00\);_("$"* "-"??_);_(@_)</c:formatCode>
                <c:ptCount val="15"/>
                <c:pt idx="0">
                  <c:v>3.455265303863635</c:v>
                </c:pt>
                <c:pt idx="1">
                  <c:v>3.6052653038636349</c:v>
                </c:pt>
                <c:pt idx="2">
                  <c:v>3.7552653038636352</c:v>
                </c:pt>
                <c:pt idx="3">
                  <c:v>3.9052653038636356</c:v>
                </c:pt>
                <c:pt idx="4">
                  <c:v>4.0552653038636359</c:v>
                </c:pt>
                <c:pt idx="5">
                  <c:v>4.2052653038636354</c:v>
                </c:pt>
                <c:pt idx="6">
                  <c:v>4.3552653038636358</c:v>
                </c:pt>
                <c:pt idx="7">
                  <c:v>4.5052653038636361</c:v>
                </c:pt>
                <c:pt idx="8">
                  <c:v>4.6552653038636365</c:v>
                </c:pt>
                <c:pt idx="9">
                  <c:v>4.8052653038636359</c:v>
                </c:pt>
                <c:pt idx="10">
                  <c:v>4.9552653038636363</c:v>
                </c:pt>
                <c:pt idx="11">
                  <c:v>5.1052653038636358</c:v>
                </c:pt>
                <c:pt idx="12">
                  <c:v>5.255265303863637</c:v>
                </c:pt>
                <c:pt idx="13">
                  <c:v>5.4052653038636365</c:v>
                </c:pt>
                <c:pt idx="14">
                  <c:v>5.5552653038636368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A3-4C9F-B846-62067A6B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49856"/>
        <c:axId val="91851776"/>
      </c:lineChart>
      <c:catAx>
        <c:axId val="9184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851776"/>
        <c:crosses val="autoZero"/>
        <c:auto val="1"/>
        <c:lblAlgn val="ctr"/>
        <c:lblOffset val="100"/>
        <c:noMultiLvlLbl val="0"/>
      </c:catAx>
      <c:valAx>
        <c:axId val="91851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849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949170165292498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Prices!$M$49:$M$63</c:f>
              <c:numCache>
                <c:formatCode>_("$"* #,##0_);_("$"* \(#,##0\);_("$"* "-"??_);_(@_)</c:formatCode>
                <c:ptCount val="15"/>
                <c:pt idx="0">
                  <c:v>291.43600000000004</c:v>
                </c:pt>
                <c:pt idx="1">
                  <c:v>304.20195744680854</c:v>
                </c:pt>
                <c:pt idx="2">
                  <c:v>316.96791489361709</c:v>
                </c:pt>
                <c:pt idx="3">
                  <c:v>329.73387234042548</c:v>
                </c:pt>
                <c:pt idx="4">
                  <c:v>342.49982978723403</c:v>
                </c:pt>
                <c:pt idx="5">
                  <c:v>355.26578723404259</c:v>
                </c:pt>
                <c:pt idx="6">
                  <c:v>368.03174468085103</c:v>
                </c:pt>
                <c:pt idx="7">
                  <c:v>380.79770212765965</c:v>
                </c:pt>
                <c:pt idx="8">
                  <c:v>393.56365957446815</c:v>
                </c:pt>
                <c:pt idx="9">
                  <c:v>406.3296170212767</c:v>
                </c:pt>
                <c:pt idx="10">
                  <c:v>419.0955744680852</c:v>
                </c:pt>
                <c:pt idx="11">
                  <c:v>431.86153191489376</c:v>
                </c:pt>
                <c:pt idx="12">
                  <c:v>444.62748936170237</c:v>
                </c:pt>
                <c:pt idx="13">
                  <c:v>457.39344680851087</c:v>
                </c:pt>
                <c:pt idx="14">
                  <c:v>470.15940425531937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63-433D-8B32-9606A59F3515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Prices!$M$70:$M$84</c:f>
              <c:numCache>
                <c:formatCode>_("$"* #,##0_);_("$"* \(#,##0\);_("$"* "-"??_);_(@_)</c:formatCode>
                <c:ptCount val="15"/>
                <c:pt idx="0">
                  <c:v>295.83639973529421</c:v>
                </c:pt>
                <c:pt idx="1">
                  <c:v>303.33639973529421</c:v>
                </c:pt>
                <c:pt idx="2">
                  <c:v>310.83639973529415</c:v>
                </c:pt>
                <c:pt idx="3">
                  <c:v>318.33639973529415</c:v>
                </c:pt>
                <c:pt idx="4">
                  <c:v>325.83639973529415</c:v>
                </c:pt>
                <c:pt idx="5">
                  <c:v>333.33639973529415</c:v>
                </c:pt>
                <c:pt idx="6">
                  <c:v>340.83639973529415</c:v>
                </c:pt>
                <c:pt idx="7">
                  <c:v>348.33639973529415</c:v>
                </c:pt>
                <c:pt idx="8">
                  <c:v>355.83639973529421</c:v>
                </c:pt>
                <c:pt idx="9">
                  <c:v>363.33639973529421</c:v>
                </c:pt>
                <c:pt idx="10">
                  <c:v>370.83639973529415</c:v>
                </c:pt>
                <c:pt idx="11">
                  <c:v>378.33639973529426</c:v>
                </c:pt>
                <c:pt idx="12">
                  <c:v>385.83639973529421</c:v>
                </c:pt>
                <c:pt idx="13">
                  <c:v>393.33639973529432</c:v>
                </c:pt>
                <c:pt idx="14">
                  <c:v>400.83639973529426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63-433D-8B32-9606A59F3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7536"/>
        <c:axId val="29632000"/>
      </c:lineChart>
      <c:catAx>
        <c:axId val="2961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632000"/>
        <c:crosses val="autoZero"/>
        <c:auto val="1"/>
        <c:lblAlgn val="ctr"/>
        <c:lblOffset val="100"/>
        <c:noMultiLvlLbl val="0"/>
      </c:catAx>
      <c:valAx>
        <c:axId val="29632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61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7156436090650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Prices!$O$49:$O$63</c:f>
              <c:numCache>
                <c:formatCode>_("$"* #,##0.00_);_("$"* \(#,##0.00\);_("$"* "-"??_);_(@_)</c:formatCode>
                <c:ptCount val="15"/>
                <c:pt idx="0">
                  <c:v>5.2880178891666674</c:v>
                </c:pt>
                <c:pt idx="1">
                  <c:v>5.7880178891666674</c:v>
                </c:pt>
                <c:pt idx="2">
                  <c:v>6.2880178891666674</c:v>
                </c:pt>
                <c:pt idx="3">
                  <c:v>6.7880178891666656</c:v>
                </c:pt>
                <c:pt idx="4">
                  <c:v>7.2880178891666656</c:v>
                </c:pt>
                <c:pt idx="5">
                  <c:v>7.7880178891666656</c:v>
                </c:pt>
                <c:pt idx="6">
                  <c:v>8.2880178891666656</c:v>
                </c:pt>
                <c:pt idx="7">
                  <c:v>8.7880178891666674</c:v>
                </c:pt>
                <c:pt idx="8">
                  <c:v>9.2880178891666674</c:v>
                </c:pt>
                <c:pt idx="9">
                  <c:v>9.7880178891666691</c:v>
                </c:pt>
                <c:pt idx="10">
                  <c:v>10.288017889166669</c:v>
                </c:pt>
                <c:pt idx="11">
                  <c:v>10.788017889166671</c:v>
                </c:pt>
                <c:pt idx="12">
                  <c:v>11.288017889166673</c:v>
                </c:pt>
                <c:pt idx="13">
                  <c:v>11.788017889166673</c:v>
                </c:pt>
                <c:pt idx="14">
                  <c:v>12.288017889166673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B6-4540-A6E8-A3FA0BF1002E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Prices!$O$70:$O$84</c:f>
              <c:numCache>
                <c:formatCode>_("$"* #,##0.00_);_("$"* \(#,##0.00\);_("$"* "-"??_);_(@_)</c:formatCode>
                <c:ptCount val="15"/>
                <c:pt idx="0">
                  <c:v>5.8128213658333356</c:v>
                </c:pt>
                <c:pt idx="1">
                  <c:v>6.2378213658333364</c:v>
                </c:pt>
                <c:pt idx="2">
                  <c:v>6.6628213658333362</c:v>
                </c:pt>
                <c:pt idx="3">
                  <c:v>7.0878213658333342</c:v>
                </c:pt>
                <c:pt idx="4">
                  <c:v>7.512821365833334</c:v>
                </c:pt>
                <c:pt idx="5">
                  <c:v>7.9378213658333339</c:v>
                </c:pt>
                <c:pt idx="6">
                  <c:v>8.3628213658333337</c:v>
                </c:pt>
                <c:pt idx="7">
                  <c:v>8.7878213658333362</c:v>
                </c:pt>
                <c:pt idx="8">
                  <c:v>9.2128213658333369</c:v>
                </c:pt>
                <c:pt idx="9">
                  <c:v>9.6378213658333376</c:v>
                </c:pt>
                <c:pt idx="10">
                  <c:v>10.062821365833338</c:v>
                </c:pt>
                <c:pt idx="11">
                  <c:v>10.487821365833339</c:v>
                </c:pt>
                <c:pt idx="12">
                  <c:v>10.91282136583334</c:v>
                </c:pt>
                <c:pt idx="13">
                  <c:v>11.337821365833342</c:v>
                </c:pt>
                <c:pt idx="14">
                  <c:v>11.762821365833341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B6-4540-A6E8-A3FA0BF1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8096"/>
        <c:axId val="29670016"/>
      </c:lineChart>
      <c:catAx>
        <c:axId val="2966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670016"/>
        <c:crosses val="autoZero"/>
        <c:auto val="1"/>
        <c:lblAlgn val="ctr"/>
        <c:lblOffset val="100"/>
        <c:noMultiLvlLbl val="0"/>
      </c:catAx>
      <c:valAx>
        <c:axId val="29670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66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656331668218896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568617825514899"/>
          <c:y val="8.84161003053426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7.0500000000000025</c:v>
                </c:pt>
                <c:pt idx="1">
                  <c:v>7.4000000000000021</c:v>
                </c:pt>
                <c:pt idx="2">
                  <c:v>7.7500000000000018</c:v>
                </c:pt>
                <c:pt idx="3">
                  <c:v>8.1000000000000014</c:v>
                </c:pt>
                <c:pt idx="4">
                  <c:v>8.4500000000000011</c:v>
                </c:pt>
                <c:pt idx="5">
                  <c:v>8.8000000000000007</c:v>
                </c:pt>
                <c:pt idx="6">
                  <c:v>9.15</c:v>
                </c:pt>
                <c:pt idx="7">
                  <c:v>9.5</c:v>
                </c:pt>
                <c:pt idx="8">
                  <c:v>9.85</c:v>
                </c:pt>
                <c:pt idx="9">
                  <c:v>10.199999999999999</c:v>
                </c:pt>
                <c:pt idx="10">
                  <c:v>10.549999999999999</c:v>
                </c:pt>
                <c:pt idx="11">
                  <c:v>10.899999999999999</c:v>
                </c:pt>
                <c:pt idx="12">
                  <c:v>11.249999999999998</c:v>
                </c:pt>
                <c:pt idx="13">
                  <c:v>11.599999999999998</c:v>
                </c:pt>
                <c:pt idx="14">
                  <c:v>11.949999999999998</c:v>
                </c:pt>
              </c:numCache>
            </c:numRef>
          </c:cat>
          <c:val>
            <c:numRef>
              <c:f>Prices!$Q$49:$Q$63</c:f>
              <c:numCache>
                <c:formatCode>_("$"* #,##0.00_);_("$"* \(#,##0.00\);_("$"* "-"??_);_(@_)</c:formatCode>
                <c:ptCount val="15"/>
                <c:pt idx="0">
                  <c:v>0.56288473823106078</c:v>
                </c:pt>
                <c:pt idx="1">
                  <c:v>0.58038473823106074</c:v>
                </c:pt>
                <c:pt idx="2">
                  <c:v>0.5978847382310607</c:v>
                </c:pt>
                <c:pt idx="3">
                  <c:v>0.61538473823106077</c:v>
                </c:pt>
                <c:pt idx="4">
                  <c:v>0.63288473823106073</c:v>
                </c:pt>
                <c:pt idx="5">
                  <c:v>0.65038473823106069</c:v>
                </c:pt>
                <c:pt idx="6">
                  <c:v>0.66788473823106065</c:v>
                </c:pt>
                <c:pt idx="7">
                  <c:v>0.68538473823106061</c:v>
                </c:pt>
                <c:pt idx="8">
                  <c:v>0.70288473823106068</c:v>
                </c:pt>
                <c:pt idx="9">
                  <c:v>0.72038473823106064</c:v>
                </c:pt>
                <c:pt idx="10">
                  <c:v>0.7378847382310606</c:v>
                </c:pt>
                <c:pt idx="11">
                  <c:v>0.75538473823106056</c:v>
                </c:pt>
                <c:pt idx="12">
                  <c:v>0.77288473823106052</c:v>
                </c:pt>
                <c:pt idx="13">
                  <c:v>0.79038473823106059</c:v>
                </c:pt>
                <c:pt idx="14">
                  <c:v>0.80788473823106055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F-44E8-B358-C5637DCE503B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7.0500000000000025</c:v>
                </c:pt>
                <c:pt idx="1">
                  <c:v>7.4000000000000021</c:v>
                </c:pt>
                <c:pt idx="2">
                  <c:v>7.7500000000000018</c:v>
                </c:pt>
                <c:pt idx="3">
                  <c:v>8.1000000000000014</c:v>
                </c:pt>
                <c:pt idx="4">
                  <c:v>8.4500000000000011</c:v>
                </c:pt>
                <c:pt idx="5">
                  <c:v>8.8000000000000007</c:v>
                </c:pt>
                <c:pt idx="6">
                  <c:v>9.15</c:v>
                </c:pt>
                <c:pt idx="7">
                  <c:v>9.5</c:v>
                </c:pt>
                <c:pt idx="8">
                  <c:v>9.85</c:v>
                </c:pt>
                <c:pt idx="9">
                  <c:v>10.199999999999999</c:v>
                </c:pt>
                <c:pt idx="10">
                  <c:v>10.549999999999999</c:v>
                </c:pt>
                <c:pt idx="11">
                  <c:v>10.899999999999999</c:v>
                </c:pt>
                <c:pt idx="12">
                  <c:v>11.249999999999998</c:v>
                </c:pt>
                <c:pt idx="13">
                  <c:v>11.599999999999998</c:v>
                </c:pt>
                <c:pt idx="14">
                  <c:v>11.949999999999998</c:v>
                </c:pt>
              </c:numCache>
            </c:numRef>
          </c:cat>
          <c:val>
            <c:numRef>
              <c:f>Prices!$Q$70:$Q$84</c:f>
              <c:numCache>
                <c:formatCode>_("$"* #,##0.00_);_("$"* \(#,##0.00\);_("$"* "-"??_);_(@_)</c:formatCode>
                <c:ptCount val="15"/>
                <c:pt idx="0">
                  <c:v>0.57006091787272728</c:v>
                </c:pt>
                <c:pt idx="1">
                  <c:v>0.58406091787272729</c:v>
                </c:pt>
                <c:pt idx="2">
                  <c:v>0.5980609178727273</c:v>
                </c:pt>
                <c:pt idx="3">
                  <c:v>0.61206091787272721</c:v>
                </c:pt>
                <c:pt idx="4">
                  <c:v>0.62606091787272722</c:v>
                </c:pt>
                <c:pt idx="5">
                  <c:v>0.64006091787272723</c:v>
                </c:pt>
                <c:pt idx="6">
                  <c:v>0.65406091787272713</c:v>
                </c:pt>
                <c:pt idx="7">
                  <c:v>0.66806091787272714</c:v>
                </c:pt>
                <c:pt idx="8">
                  <c:v>0.68206091787272716</c:v>
                </c:pt>
                <c:pt idx="9">
                  <c:v>0.69606091787272728</c:v>
                </c:pt>
                <c:pt idx="10">
                  <c:v>0.71006091787272707</c:v>
                </c:pt>
                <c:pt idx="11">
                  <c:v>0.72406091787272708</c:v>
                </c:pt>
                <c:pt idx="12">
                  <c:v>0.7380609178727271</c:v>
                </c:pt>
                <c:pt idx="13">
                  <c:v>0.75206091787272711</c:v>
                </c:pt>
                <c:pt idx="14">
                  <c:v>0.76606091787272712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F-44E8-B358-C5637DCE5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49088"/>
        <c:axId val="29851008"/>
      </c:lineChart>
      <c:catAx>
        <c:axId val="2984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851008"/>
        <c:crosses val="autoZero"/>
        <c:auto val="1"/>
        <c:lblAlgn val="ctr"/>
        <c:lblOffset val="100"/>
        <c:noMultiLvlLbl val="0"/>
      </c:catAx>
      <c:valAx>
        <c:axId val="29851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84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87603825099"/>
          <c:y val="0.69699072384163896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7783262166856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7.0500000000000025</c:v>
                </c:pt>
                <c:pt idx="1">
                  <c:v>7.4000000000000021</c:v>
                </c:pt>
                <c:pt idx="2">
                  <c:v>7.7500000000000018</c:v>
                </c:pt>
                <c:pt idx="3">
                  <c:v>8.1000000000000014</c:v>
                </c:pt>
                <c:pt idx="4">
                  <c:v>8.4500000000000011</c:v>
                </c:pt>
                <c:pt idx="5">
                  <c:v>8.8000000000000007</c:v>
                </c:pt>
                <c:pt idx="6">
                  <c:v>9.15</c:v>
                </c:pt>
                <c:pt idx="7">
                  <c:v>9.5</c:v>
                </c:pt>
                <c:pt idx="8">
                  <c:v>9.85</c:v>
                </c:pt>
                <c:pt idx="9">
                  <c:v>10.199999999999999</c:v>
                </c:pt>
                <c:pt idx="10">
                  <c:v>10.549999999999999</c:v>
                </c:pt>
                <c:pt idx="11">
                  <c:v>10.899999999999999</c:v>
                </c:pt>
                <c:pt idx="12">
                  <c:v>11.249999999999998</c:v>
                </c:pt>
                <c:pt idx="13">
                  <c:v>11.599999999999998</c:v>
                </c:pt>
                <c:pt idx="14">
                  <c:v>11.949999999999998</c:v>
                </c:pt>
              </c:numCache>
            </c:numRef>
          </c:cat>
          <c:val>
            <c:numRef>
              <c:f>Prices!$R$49:$R$63</c:f>
              <c:numCache>
                <c:formatCode>_("$"* #,##0_);_("$"* \(#,##0\);_("$"* "-"??_);_(@_)</c:formatCode>
                <c:ptCount val="15"/>
                <c:pt idx="0">
                  <c:v>336.42277729787247</c:v>
                </c:pt>
                <c:pt idx="1">
                  <c:v>345.35894751063842</c:v>
                </c:pt>
                <c:pt idx="2">
                  <c:v>354.2951177234043</c:v>
                </c:pt>
                <c:pt idx="3">
                  <c:v>363.23128793617025</c:v>
                </c:pt>
                <c:pt idx="4">
                  <c:v>372.16745814893619</c:v>
                </c:pt>
                <c:pt idx="5">
                  <c:v>381.10362836170214</c:v>
                </c:pt>
                <c:pt idx="6">
                  <c:v>390.03979857446814</c:v>
                </c:pt>
                <c:pt idx="7">
                  <c:v>398.97596878723408</c:v>
                </c:pt>
                <c:pt idx="8">
                  <c:v>407.91213900000002</c:v>
                </c:pt>
                <c:pt idx="9">
                  <c:v>416.84830921276603</c:v>
                </c:pt>
                <c:pt idx="10">
                  <c:v>425.78447942553186</c:v>
                </c:pt>
                <c:pt idx="11">
                  <c:v>434.72064963829786</c:v>
                </c:pt>
                <c:pt idx="12">
                  <c:v>443.65681985106386</c:v>
                </c:pt>
                <c:pt idx="13">
                  <c:v>452.5929900638298</c:v>
                </c:pt>
                <c:pt idx="14">
                  <c:v>461.5291602765958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88-4934-9C4C-918D25D49BAB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7.0500000000000025</c:v>
                </c:pt>
                <c:pt idx="1">
                  <c:v>7.4000000000000021</c:v>
                </c:pt>
                <c:pt idx="2">
                  <c:v>7.7500000000000018</c:v>
                </c:pt>
                <c:pt idx="3">
                  <c:v>8.1000000000000014</c:v>
                </c:pt>
                <c:pt idx="4">
                  <c:v>8.4500000000000011</c:v>
                </c:pt>
                <c:pt idx="5">
                  <c:v>8.8000000000000007</c:v>
                </c:pt>
                <c:pt idx="6">
                  <c:v>9.15</c:v>
                </c:pt>
                <c:pt idx="7">
                  <c:v>9.5</c:v>
                </c:pt>
                <c:pt idx="8">
                  <c:v>9.85</c:v>
                </c:pt>
                <c:pt idx="9">
                  <c:v>10.199999999999999</c:v>
                </c:pt>
                <c:pt idx="10">
                  <c:v>10.549999999999999</c:v>
                </c:pt>
                <c:pt idx="11">
                  <c:v>10.899999999999999</c:v>
                </c:pt>
                <c:pt idx="12">
                  <c:v>11.249999999999998</c:v>
                </c:pt>
                <c:pt idx="13">
                  <c:v>11.599999999999998</c:v>
                </c:pt>
                <c:pt idx="14">
                  <c:v>11.949999999999998</c:v>
                </c:pt>
              </c:numCache>
            </c:numRef>
          </c:cat>
          <c:val>
            <c:numRef>
              <c:f>Prices!$R$70:$R$84</c:f>
              <c:numCache>
                <c:formatCode>_("$"* #,##0_);_("$"* \(#,##0\);_("$"* "-"??_);_(@_)</c:formatCode>
                <c:ptCount val="15"/>
                <c:pt idx="0">
                  <c:v>317.66896386764711</c:v>
                </c:pt>
                <c:pt idx="1">
                  <c:v>323.84543445588235</c:v>
                </c:pt>
                <c:pt idx="2">
                  <c:v>330.02190504411766</c:v>
                </c:pt>
                <c:pt idx="3">
                  <c:v>336.19837563235302</c:v>
                </c:pt>
                <c:pt idx="4">
                  <c:v>342.37484622058827</c:v>
                </c:pt>
                <c:pt idx="5">
                  <c:v>348.55131680882351</c:v>
                </c:pt>
                <c:pt idx="6">
                  <c:v>354.72778739705882</c:v>
                </c:pt>
                <c:pt idx="7">
                  <c:v>360.90425798529407</c:v>
                </c:pt>
                <c:pt idx="8">
                  <c:v>367.08072857352937</c:v>
                </c:pt>
                <c:pt idx="9">
                  <c:v>373.25719916176467</c:v>
                </c:pt>
                <c:pt idx="10">
                  <c:v>379.43366974999998</c:v>
                </c:pt>
                <c:pt idx="11">
                  <c:v>385.61014033823528</c:v>
                </c:pt>
                <c:pt idx="12">
                  <c:v>391.78661092647053</c:v>
                </c:pt>
                <c:pt idx="13">
                  <c:v>397.96308151470583</c:v>
                </c:pt>
                <c:pt idx="14">
                  <c:v>404.1395521029412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88-4934-9C4C-918D25D4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6688"/>
        <c:axId val="30245248"/>
      </c:lineChart>
      <c:catAx>
        <c:axId val="3022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245248"/>
        <c:crosses val="autoZero"/>
        <c:auto val="1"/>
        <c:lblAlgn val="ctr"/>
        <c:lblOffset val="100"/>
        <c:noMultiLvlLbl val="0"/>
      </c:catAx>
      <c:valAx>
        <c:axId val="30245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226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2747809508901"/>
          <c:y val="0.6997273727880789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Soybean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7.0500000000000025</c:v>
                </c:pt>
                <c:pt idx="1">
                  <c:v>7.4000000000000021</c:v>
                </c:pt>
                <c:pt idx="2">
                  <c:v>7.7500000000000018</c:v>
                </c:pt>
                <c:pt idx="3">
                  <c:v>8.1000000000000014</c:v>
                </c:pt>
                <c:pt idx="4">
                  <c:v>8.4500000000000011</c:v>
                </c:pt>
                <c:pt idx="5">
                  <c:v>8.8000000000000007</c:v>
                </c:pt>
                <c:pt idx="6">
                  <c:v>9.15</c:v>
                </c:pt>
                <c:pt idx="7">
                  <c:v>9.5</c:v>
                </c:pt>
                <c:pt idx="8">
                  <c:v>9.85</c:v>
                </c:pt>
                <c:pt idx="9">
                  <c:v>10.199999999999999</c:v>
                </c:pt>
                <c:pt idx="10">
                  <c:v>10.549999999999999</c:v>
                </c:pt>
                <c:pt idx="11">
                  <c:v>10.899999999999999</c:v>
                </c:pt>
                <c:pt idx="12">
                  <c:v>11.249999999999998</c:v>
                </c:pt>
                <c:pt idx="13">
                  <c:v>11.599999999999998</c:v>
                </c:pt>
                <c:pt idx="14">
                  <c:v>11.949999999999998</c:v>
                </c:pt>
              </c:numCache>
            </c:numRef>
          </c:cat>
          <c:val>
            <c:numRef>
              <c:f>Prices!$S$49:$S$63</c:f>
              <c:numCache>
                <c:formatCode>_("$"* #,##0.00_);_("$"* \(#,##0.00\);_("$"* "-"??_);_(@_)</c:formatCode>
                <c:ptCount val="15"/>
                <c:pt idx="0">
                  <c:v>3.628594633250001</c:v>
                </c:pt>
                <c:pt idx="1">
                  <c:v>3.733594633250001</c:v>
                </c:pt>
                <c:pt idx="2">
                  <c:v>3.8385946332500009</c:v>
                </c:pt>
                <c:pt idx="3">
                  <c:v>3.9435946332500009</c:v>
                </c:pt>
                <c:pt idx="4">
                  <c:v>4.0485946332500014</c:v>
                </c:pt>
                <c:pt idx="5">
                  <c:v>4.15359463325</c:v>
                </c:pt>
                <c:pt idx="6">
                  <c:v>4.2585946332500004</c:v>
                </c:pt>
                <c:pt idx="7">
                  <c:v>4.36359463325</c:v>
                </c:pt>
                <c:pt idx="8">
                  <c:v>4.4685946332500004</c:v>
                </c:pt>
                <c:pt idx="9">
                  <c:v>4.5735946332499999</c:v>
                </c:pt>
                <c:pt idx="10">
                  <c:v>4.6785946332499995</c:v>
                </c:pt>
                <c:pt idx="11">
                  <c:v>4.7835946332499999</c:v>
                </c:pt>
                <c:pt idx="12">
                  <c:v>4.8885946332499994</c:v>
                </c:pt>
                <c:pt idx="13">
                  <c:v>4.9935946332499999</c:v>
                </c:pt>
                <c:pt idx="14">
                  <c:v>5.0985946332499994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93-4227-84CA-D1F9EA15A6E0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7.0500000000000025</c:v>
                </c:pt>
                <c:pt idx="1">
                  <c:v>7.4000000000000021</c:v>
                </c:pt>
                <c:pt idx="2">
                  <c:v>7.7500000000000018</c:v>
                </c:pt>
                <c:pt idx="3">
                  <c:v>8.1000000000000014</c:v>
                </c:pt>
                <c:pt idx="4">
                  <c:v>8.4500000000000011</c:v>
                </c:pt>
                <c:pt idx="5">
                  <c:v>8.8000000000000007</c:v>
                </c:pt>
                <c:pt idx="6">
                  <c:v>9.15</c:v>
                </c:pt>
                <c:pt idx="7">
                  <c:v>9.5</c:v>
                </c:pt>
                <c:pt idx="8">
                  <c:v>9.85</c:v>
                </c:pt>
                <c:pt idx="9">
                  <c:v>10.199999999999999</c:v>
                </c:pt>
                <c:pt idx="10">
                  <c:v>10.549999999999999</c:v>
                </c:pt>
                <c:pt idx="11">
                  <c:v>10.899999999999999</c:v>
                </c:pt>
                <c:pt idx="12">
                  <c:v>11.249999999999998</c:v>
                </c:pt>
                <c:pt idx="13">
                  <c:v>11.599999999999998</c:v>
                </c:pt>
                <c:pt idx="14">
                  <c:v>11.949999999999998</c:v>
                </c:pt>
              </c:numCache>
            </c:numRef>
          </c:cat>
          <c:val>
            <c:numRef>
              <c:f>Prices!$S$70:$S$84</c:f>
              <c:numCache>
                <c:formatCode>_("$"* #,##0.00_);_("$"* \(#,##0.00\);_("$"* "-"??_);_(@_)</c:formatCode>
                <c:ptCount val="15"/>
                <c:pt idx="0">
                  <c:v>3.53665128264706</c:v>
                </c:pt>
                <c:pt idx="1">
                  <c:v>3.660180694411765</c:v>
                </c:pt>
                <c:pt idx="2">
                  <c:v>3.7837101061764709</c:v>
                </c:pt>
                <c:pt idx="3">
                  <c:v>3.9072395179411767</c:v>
                </c:pt>
                <c:pt idx="4">
                  <c:v>4.0307689297058822</c:v>
                </c:pt>
                <c:pt idx="5">
                  <c:v>4.1542983414705876</c:v>
                </c:pt>
                <c:pt idx="6">
                  <c:v>4.277827753235294</c:v>
                </c:pt>
                <c:pt idx="7">
                  <c:v>4.4013571649999994</c:v>
                </c:pt>
                <c:pt idx="8">
                  <c:v>4.5248865767647057</c:v>
                </c:pt>
                <c:pt idx="9">
                  <c:v>4.6484159885294112</c:v>
                </c:pt>
                <c:pt idx="10">
                  <c:v>4.7719454002941166</c:v>
                </c:pt>
                <c:pt idx="11">
                  <c:v>4.895474812058823</c:v>
                </c:pt>
                <c:pt idx="12">
                  <c:v>5.0190042238235284</c:v>
                </c:pt>
                <c:pt idx="13">
                  <c:v>5.1425336355882347</c:v>
                </c:pt>
                <c:pt idx="14">
                  <c:v>5.2660630473529402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93-4227-84CA-D1F9EA15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3024"/>
        <c:axId val="29971584"/>
      </c:lineChart>
      <c:catAx>
        <c:axId val="2995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71584"/>
        <c:crosses val="autoZero"/>
        <c:auto val="1"/>
        <c:lblAlgn val="ctr"/>
        <c:lblOffset val="100"/>
        <c:noMultiLvlLbl val="0"/>
      </c:catAx>
      <c:valAx>
        <c:axId val="29971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53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1.7219202438404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Prices!$E$28:$E$42</c:f>
              <c:numCache>
                <c:formatCode>_("$"* #,##0.00_);_("$"* \(#,##0.00\);_("$"* "-"??_);_(@_)</c:formatCode>
                <c:ptCount val="15"/>
                <c:pt idx="0">
                  <c:v>5.9811593865151469</c:v>
                </c:pt>
                <c:pt idx="1">
                  <c:v>6.6061593865151487</c:v>
                </c:pt>
                <c:pt idx="2">
                  <c:v>7.2311593865151487</c:v>
                </c:pt>
                <c:pt idx="3">
                  <c:v>7.8561593865151487</c:v>
                </c:pt>
                <c:pt idx="4">
                  <c:v>8.4811593865151504</c:v>
                </c:pt>
                <c:pt idx="5">
                  <c:v>9.1061593865151504</c:v>
                </c:pt>
                <c:pt idx="6">
                  <c:v>9.7311593865151504</c:v>
                </c:pt>
                <c:pt idx="7">
                  <c:v>10.356159386515152</c:v>
                </c:pt>
                <c:pt idx="8">
                  <c:v>10.981159386515152</c:v>
                </c:pt>
                <c:pt idx="9">
                  <c:v>11.606159386515152</c:v>
                </c:pt>
                <c:pt idx="10">
                  <c:v>12.231159386515152</c:v>
                </c:pt>
                <c:pt idx="11">
                  <c:v>12.856159386515152</c:v>
                </c:pt>
                <c:pt idx="12">
                  <c:v>13.481159386515152</c:v>
                </c:pt>
                <c:pt idx="13">
                  <c:v>14.106159386515156</c:v>
                </c:pt>
                <c:pt idx="14">
                  <c:v>14.731159386515156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F5-4EF4-A754-D182C7269843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Prices!$E$7:$E$21</c:f>
              <c:numCache>
                <c:formatCode>_("$"* #,##0.00_);_("$"* \(#,##0.00\);_("$"* "-"??_);_(@_)</c:formatCode>
                <c:ptCount val="15"/>
                <c:pt idx="0">
                  <c:v>6.3283739020454499</c:v>
                </c:pt>
                <c:pt idx="1">
                  <c:v>6.8283739020454499</c:v>
                </c:pt>
                <c:pt idx="2">
                  <c:v>7.3283739020454499</c:v>
                </c:pt>
                <c:pt idx="3">
                  <c:v>7.8283739020454517</c:v>
                </c:pt>
                <c:pt idx="4">
                  <c:v>8.3283739020454508</c:v>
                </c:pt>
                <c:pt idx="5">
                  <c:v>8.8283739020454508</c:v>
                </c:pt>
                <c:pt idx="6">
                  <c:v>9.3283739020454508</c:v>
                </c:pt>
                <c:pt idx="7">
                  <c:v>9.8283739020454544</c:v>
                </c:pt>
                <c:pt idx="8">
                  <c:v>10.328373902045454</c:v>
                </c:pt>
                <c:pt idx="9">
                  <c:v>10.828373902045454</c:v>
                </c:pt>
                <c:pt idx="10">
                  <c:v>11.328373902045454</c:v>
                </c:pt>
                <c:pt idx="11">
                  <c:v>11.828373902045454</c:v>
                </c:pt>
                <c:pt idx="12">
                  <c:v>12.328373902045454</c:v>
                </c:pt>
                <c:pt idx="13">
                  <c:v>12.828373902045454</c:v>
                </c:pt>
                <c:pt idx="14">
                  <c:v>13.328373902045458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F5-4EF4-A754-D182C726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5024"/>
        <c:axId val="28475392"/>
      </c:lineChart>
      <c:catAx>
        <c:axId val="2846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75392"/>
        <c:crosses val="autoZero"/>
        <c:auto val="1"/>
        <c:lblAlgn val="ctr"/>
        <c:lblOffset val="100"/>
        <c:noMultiLvlLbl val="0"/>
      </c:catAx>
      <c:valAx>
        <c:axId val="28475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65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9844475962201"/>
          <c:y val="0.68307735726582597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1.7219205357950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</c:numCache>
            </c:numRef>
          </c:cat>
          <c:val>
            <c:numRef>
              <c:f>Prices!$G$28:$G$42</c:f>
              <c:numCache>
                <c:formatCode>_("$"* #,##0.00_);_("$"* \(#,##0.00\);_("$"* "-"??_);_(@_)</c:formatCode>
                <c:ptCount val="15"/>
                <c:pt idx="0">
                  <c:v>0.63947463977272723</c:v>
                </c:pt>
                <c:pt idx="1">
                  <c:v>0.66214130643939384</c:v>
                </c:pt>
                <c:pt idx="2">
                  <c:v>0.68480797310606056</c:v>
                </c:pt>
                <c:pt idx="3">
                  <c:v>0.70747463977272718</c:v>
                </c:pt>
                <c:pt idx="4">
                  <c:v>0.7301413064393939</c:v>
                </c:pt>
                <c:pt idx="5">
                  <c:v>0.75280797310606051</c:v>
                </c:pt>
                <c:pt idx="6">
                  <c:v>0.77547463977272724</c:v>
                </c:pt>
                <c:pt idx="7">
                  <c:v>0.79814130643939385</c:v>
                </c:pt>
                <c:pt idx="8">
                  <c:v>0.82080797310606057</c:v>
                </c:pt>
                <c:pt idx="9">
                  <c:v>0.84347463977272719</c:v>
                </c:pt>
                <c:pt idx="10">
                  <c:v>0.8661413064393938</c:v>
                </c:pt>
                <c:pt idx="11">
                  <c:v>0.88880797310606052</c:v>
                </c:pt>
                <c:pt idx="12">
                  <c:v>0.91147463977272714</c:v>
                </c:pt>
                <c:pt idx="13">
                  <c:v>0.93414130643939386</c:v>
                </c:pt>
                <c:pt idx="14">
                  <c:v>0.95680797310606047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77-4FCD-B78E-A466B0BD4FF4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</c:numCache>
            </c:numRef>
          </c:cat>
          <c:val>
            <c:numRef>
              <c:f>Prices!$G$7:$G$21</c:f>
              <c:numCache>
                <c:formatCode>_("$"* #,##0.00_);_("$"* \(#,##0.00\);_("$"* "-"??_);_(@_)</c:formatCode>
                <c:ptCount val="15"/>
                <c:pt idx="0">
                  <c:v>0.5914216993560607</c:v>
                </c:pt>
                <c:pt idx="1">
                  <c:v>0.6110050326893941</c:v>
                </c:pt>
                <c:pt idx="2">
                  <c:v>0.63058836602272739</c:v>
                </c:pt>
                <c:pt idx="3">
                  <c:v>0.65017169935606067</c:v>
                </c:pt>
                <c:pt idx="4">
                  <c:v>0.66975503268939407</c:v>
                </c:pt>
                <c:pt idx="5">
                  <c:v>0.68933836602272736</c:v>
                </c:pt>
                <c:pt idx="6">
                  <c:v>0.70892169935606075</c:v>
                </c:pt>
                <c:pt idx="7">
                  <c:v>0.72850503268939404</c:v>
                </c:pt>
                <c:pt idx="8">
                  <c:v>0.74808836602272744</c:v>
                </c:pt>
                <c:pt idx="9">
                  <c:v>0.76767169935606072</c:v>
                </c:pt>
                <c:pt idx="10">
                  <c:v>0.78725503268939401</c:v>
                </c:pt>
                <c:pt idx="11">
                  <c:v>0.8068383660227274</c:v>
                </c:pt>
                <c:pt idx="12">
                  <c:v>0.82642169935606069</c:v>
                </c:pt>
                <c:pt idx="13">
                  <c:v>0.84600503268939409</c:v>
                </c:pt>
                <c:pt idx="14">
                  <c:v>0.86558836602272737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7-4FCD-B78E-A466B0BD4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432"/>
        <c:axId val="90280704"/>
      </c:lineChart>
      <c:catAx>
        <c:axId val="9027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80704"/>
        <c:crosses val="autoZero"/>
        <c:auto val="1"/>
        <c:lblAlgn val="ctr"/>
        <c:lblOffset val="100"/>
        <c:noMultiLvlLbl val="0"/>
      </c:catAx>
      <c:valAx>
        <c:axId val="90280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74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6047504932"/>
          <c:y val="0.69279595438501196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</c:numCache>
            </c:numRef>
          </c:cat>
          <c:val>
            <c:numRef>
              <c:f>Prices!$I$28:$I$42</c:f>
              <c:numCache>
                <c:formatCode>_("$"* #,##0.00_);_("$"* \(#,##0.00\);_("$"* "-"??_);_(@_)</c:formatCode>
                <c:ptCount val="15"/>
                <c:pt idx="0">
                  <c:v>4.2695755347058819</c:v>
                </c:pt>
                <c:pt idx="1">
                  <c:v>4.4695755347058821</c:v>
                </c:pt>
                <c:pt idx="2">
                  <c:v>4.6695755347058823</c:v>
                </c:pt>
                <c:pt idx="3">
                  <c:v>4.8695755347058824</c:v>
                </c:pt>
                <c:pt idx="4">
                  <c:v>5.0695755347058817</c:v>
                </c:pt>
                <c:pt idx="5">
                  <c:v>5.2695755347058819</c:v>
                </c:pt>
                <c:pt idx="6">
                  <c:v>5.4695755347058821</c:v>
                </c:pt>
                <c:pt idx="7">
                  <c:v>5.6695755347058823</c:v>
                </c:pt>
                <c:pt idx="8">
                  <c:v>5.8695755347058824</c:v>
                </c:pt>
                <c:pt idx="9">
                  <c:v>6.0695755347058817</c:v>
                </c:pt>
                <c:pt idx="10">
                  <c:v>6.2695755347058819</c:v>
                </c:pt>
                <c:pt idx="11">
                  <c:v>6.4695755347058821</c:v>
                </c:pt>
                <c:pt idx="12">
                  <c:v>6.6695755347058823</c:v>
                </c:pt>
                <c:pt idx="13">
                  <c:v>6.8695755347058824</c:v>
                </c:pt>
                <c:pt idx="14">
                  <c:v>7.0695755347058817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EB-4DB5-83AD-3398B0EC2BEB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</c:numCache>
            </c:numRef>
          </c:cat>
          <c:val>
            <c:numRef>
              <c:f>Prices!$I$7:$I$21</c:f>
              <c:numCache>
                <c:formatCode>_("$"* #,##0.00_);_("$"* \(#,##0.00\);_("$"* "-"??_);_(@_)</c:formatCode>
                <c:ptCount val="15"/>
                <c:pt idx="0">
                  <c:v>3.8537955000000004</c:v>
                </c:pt>
                <c:pt idx="1">
                  <c:v>3.9712955000000005</c:v>
                </c:pt>
                <c:pt idx="2">
                  <c:v>4.0887955000000007</c:v>
                </c:pt>
                <c:pt idx="3">
                  <c:v>4.2062955000000004</c:v>
                </c:pt>
                <c:pt idx="4">
                  <c:v>4.3237955000000001</c:v>
                </c:pt>
                <c:pt idx="5">
                  <c:v>4.4412955000000007</c:v>
                </c:pt>
                <c:pt idx="6">
                  <c:v>4.5587955000000004</c:v>
                </c:pt>
                <c:pt idx="7">
                  <c:v>4.6762955000000002</c:v>
                </c:pt>
                <c:pt idx="8">
                  <c:v>4.7937955000000008</c:v>
                </c:pt>
                <c:pt idx="9">
                  <c:v>4.9112955000000005</c:v>
                </c:pt>
                <c:pt idx="10">
                  <c:v>5.0287955000000002</c:v>
                </c:pt>
                <c:pt idx="11">
                  <c:v>5.1462955000000008</c:v>
                </c:pt>
                <c:pt idx="12">
                  <c:v>5.2637955000000014</c:v>
                </c:pt>
                <c:pt idx="13">
                  <c:v>5.3812955000000011</c:v>
                </c:pt>
                <c:pt idx="14">
                  <c:v>5.4987955000000008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EB-4DB5-83AD-3398B0EC2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8976"/>
        <c:axId val="28240896"/>
      </c:lineChart>
      <c:catAx>
        <c:axId val="2823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240896"/>
        <c:crosses val="autoZero"/>
        <c:auto val="1"/>
        <c:lblAlgn val="ctr"/>
        <c:lblOffset val="100"/>
        <c:noMultiLvlLbl val="0"/>
      </c:catAx>
      <c:valAx>
        <c:axId val="28240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23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9743727686201"/>
          <c:y val="0.70275205900986504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</c:numCache>
            </c:numRef>
          </c:cat>
          <c:val>
            <c:numRef>
              <c:f>Prices!$J$28:$J$42</c:f>
              <c:numCache>
                <c:formatCode>_("$"* #,##0.00_);_("$"* \(#,##0.00\);_("$"* "-"??_);_(@_)</c:formatCode>
                <c:ptCount val="15"/>
                <c:pt idx="0">
                  <c:v>8.8430253808333319</c:v>
                </c:pt>
                <c:pt idx="1">
                  <c:v>9.4096920474999983</c:v>
                </c:pt>
                <c:pt idx="2">
                  <c:v>9.9763587141666665</c:v>
                </c:pt>
                <c:pt idx="3">
                  <c:v>10.543025380833333</c:v>
                </c:pt>
                <c:pt idx="4">
                  <c:v>11.109692047499999</c:v>
                </c:pt>
                <c:pt idx="5">
                  <c:v>11.676358714166666</c:v>
                </c:pt>
                <c:pt idx="6">
                  <c:v>12.243025380833332</c:v>
                </c:pt>
                <c:pt idx="7">
                  <c:v>12.809692047499999</c:v>
                </c:pt>
                <c:pt idx="8">
                  <c:v>13.376358714166665</c:v>
                </c:pt>
                <c:pt idx="9">
                  <c:v>13.943025380833332</c:v>
                </c:pt>
                <c:pt idx="10">
                  <c:v>14.5096920475</c:v>
                </c:pt>
                <c:pt idx="11">
                  <c:v>15.076358714166666</c:v>
                </c:pt>
                <c:pt idx="12">
                  <c:v>15.643025380833333</c:v>
                </c:pt>
                <c:pt idx="13">
                  <c:v>16.209692047499999</c:v>
                </c:pt>
                <c:pt idx="14">
                  <c:v>16.776358714166665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93-47FD-8826-CE739934B166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</c:numCache>
            </c:numRef>
          </c:cat>
          <c:val>
            <c:numRef>
              <c:f>Prices!$J$7:$J$21</c:f>
              <c:numCache>
                <c:formatCode>_("$"* #,##0.00_);_("$"* \(#,##0.00\);_("$"* "-"??_);_(@_)</c:formatCode>
                <c:ptCount val="15"/>
                <c:pt idx="0">
                  <c:v>7.656807889166668</c:v>
                </c:pt>
                <c:pt idx="1">
                  <c:v>8.0484745558333337</c:v>
                </c:pt>
                <c:pt idx="2">
                  <c:v>8.4401412225000012</c:v>
                </c:pt>
                <c:pt idx="3">
                  <c:v>8.8318078891666687</c:v>
                </c:pt>
                <c:pt idx="4">
                  <c:v>9.2234745558333362</c:v>
                </c:pt>
                <c:pt idx="5">
                  <c:v>9.6151412225000019</c:v>
                </c:pt>
                <c:pt idx="6">
                  <c:v>10.006807889166669</c:v>
                </c:pt>
                <c:pt idx="7">
                  <c:v>10.398474555833335</c:v>
                </c:pt>
                <c:pt idx="8">
                  <c:v>10.790141222500003</c:v>
                </c:pt>
                <c:pt idx="9">
                  <c:v>11.181807889166668</c:v>
                </c:pt>
                <c:pt idx="10">
                  <c:v>11.573474555833336</c:v>
                </c:pt>
                <c:pt idx="11">
                  <c:v>11.965141222500002</c:v>
                </c:pt>
                <c:pt idx="12">
                  <c:v>12.356807889166669</c:v>
                </c:pt>
                <c:pt idx="13">
                  <c:v>12.748474555833335</c:v>
                </c:pt>
                <c:pt idx="14">
                  <c:v>13.140141222500002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93-47FD-8826-CE739934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46240"/>
        <c:axId val="28352512"/>
      </c:lineChart>
      <c:catAx>
        <c:axId val="2834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352512"/>
        <c:crosses val="autoZero"/>
        <c:auto val="1"/>
        <c:lblAlgn val="ctr"/>
        <c:lblOffset val="100"/>
        <c:noMultiLvlLbl val="0"/>
      </c:catAx>
      <c:valAx>
        <c:axId val="28352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346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8600830677749902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Prices!$L$7:$L$21</c:f>
              <c:numCache>
                <c:formatCode>_("$"* #,##0.00_);_("$"* \(#,##0.00\);_("$"* "-"??_);_(@_)</c:formatCode>
                <c:ptCount val="15"/>
                <c:pt idx="0">
                  <c:v>0.46578911602272738</c:v>
                </c:pt>
                <c:pt idx="1">
                  <c:v>0.4907891160227274</c:v>
                </c:pt>
                <c:pt idx="2">
                  <c:v>0.51578911602272737</c:v>
                </c:pt>
                <c:pt idx="3">
                  <c:v>0.54078911602272728</c:v>
                </c:pt>
                <c:pt idx="4">
                  <c:v>0.5657891160227273</c:v>
                </c:pt>
                <c:pt idx="5">
                  <c:v>0.59078911602272732</c:v>
                </c:pt>
                <c:pt idx="6">
                  <c:v>0.61578911602272735</c:v>
                </c:pt>
                <c:pt idx="7">
                  <c:v>0.64078911602272737</c:v>
                </c:pt>
                <c:pt idx="8">
                  <c:v>0.66578911602272739</c:v>
                </c:pt>
                <c:pt idx="9">
                  <c:v>0.69078911602272752</c:v>
                </c:pt>
                <c:pt idx="10">
                  <c:v>0.71578911602272755</c:v>
                </c:pt>
                <c:pt idx="11">
                  <c:v>0.74078911602272757</c:v>
                </c:pt>
                <c:pt idx="12">
                  <c:v>0.7657891160227277</c:v>
                </c:pt>
                <c:pt idx="13">
                  <c:v>0.79078911602272772</c:v>
                </c:pt>
                <c:pt idx="14">
                  <c:v>0.81578911602272763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D7-4613-BBB7-1534D1A42374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Prices!$L$28:$L$42</c:f>
              <c:numCache>
                <c:formatCode>_("$"* #,##0.00_);_("$"* \(#,##0.00\);_("$"* "-"??_);_(@_)</c:formatCode>
                <c:ptCount val="15"/>
                <c:pt idx="0">
                  <c:v>0.50692274583939401</c:v>
                </c:pt>
                <c:pt idx="1">
                  <c:v>0.52392274583939391</c:v>
                </c:pt>
                <c:pt idx="2">
                  <c:v>0.54092274583939393</c:v>
                </c:pt>
                <c:pt idx="3">
                  <c:v>0.55792274583939383</c:v>
                </c:pt>
                <c:pt idx="4">
                  <c:v>0.57492274583939385</c:v>
                </c:pt>
                <c:pt idx="5">
                  <c:v>0.59192274583939386</c:v>
                </c:pt>
                <c:pt idx="6">
                  <c:v>0.60892274583939388</c:v>
                </c:pt>
                <c:pt idx="7">
                  <c:v>0.625922745839394</c:v>
                </c:pt>
                <c:pt idx="8">
                  <c:v>0.64292274583939391</c:v>
                </c:pt>
                <c:pt idx="9">
                  <c:v>0.65992274583939403</c:v>
                </c:pt>
                <c:pt idx="10">
                  <c:v>0.67692274583939405</c:v>
                </c:pt>
                <c:pt idx="11">
                  <c:v>0.69392274583939406</c:v>
                </c:pt>
                <c:pt idx="12">
                  <c:v>0.71092274583939408</c:v>
                </c:pt>
                <c:pt idx="13">
                  <c:v>0.7279227458393942</c:v>
                </c:pt>
                <c:pt idx="14">
                  <c:v>0.74492274583939422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D7-4613-BBB7-1534D1A42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90528"/>
        <c:axId val="28392448"/>
      </c:lineChart>
      <c:catAx>
        <c:axId val="2839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392448"/>
        <c:crosses val="autoZero"/>
        <c:auto val="1"/>
        <c:lblAlgn val="ctr"/>
        <c:lblOffset val="100"/>
        <c:noMultiLvlLbl val="0"/>
      </c:catAx>
      <c:valAx>
        <c:axId val="28392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39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4996495003301"/>
          <c:y val="0.68036890911024195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Prices!$M$7:$M$21</c:f>
              <c:numCache>
                <c:formatCode>_("$"* #,##0_);_("$"* \(#,##0\);_("$"* "-"??_);_(@_)</c:formatCode>
                <c:ptCount val="15"/>
                <c:pt idx="0">
                  <c:v>295.84719148936171</c:v>
                </c:pt>
                <c:pt idx="1">
                  <c:v>308.61314893617021</c:v>
                </c:pt>
                <c:pt idx="2">
                  <c:v>321.3791063829787</c:v>
                </c:pt>
                <c:pt idx="3">
                  <c:v>334.1450638297872</c:v>
                </c:pt>
                <c:pt idx="4">
                  <c:v>346.9110212765957</c:v>
                </c:pt>
                <c:pt idx="5">
                  <c:v>359.6769787234042</c:v>
                </c:pt>
                <c:pt idx="6">
                  <c:v>372.44293617021276</c:v>
                </c:pt>
                <c:pt idx="7">
                  <c:v>385.20889361702126</c:v>
                </c:pt>
                <c:pt idx="8">
                  <c:v>397.97485106382982</c:v>
                </c:pt>
                <c:pt idx="9">
                  <c:v>410.74080851063837</c:v>
                </c:pt>
                <c:pt idx="10">
                  <c:v>423.50676595744687</c:v>
                </c:pt>
                <c:pt idx="11">
                  <c:v>436.27272340425543</c:v>
                </c:pt>
                <c:pt idx="12">
                  <c:v>449.03868085106393</c:v>
                </c:pt>
                <c:pt idx="13">
                  <c:v>461.80463829787243</c:v>
                </c:pt>
                <c:pt idx="14">
                  <c:v>474.57059574468099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CB-4362-88F8-C0589A0355D3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Prices!$M$28:$M$42</c:f>
              <c:numCache>
                <c:formatCode>_("$"* #,##0_);_("$"* \(#,##0\);_("$"* "-"??_);_(@_)</c:formatCode>
                <c:ptCount val="15"/>
                <c:pt idx="0">
                  <c:v>301.5212232647059</c:v>
                </c:pt>
                <c:pt idx="1">
                  <c:v>309.0212232647059</c:v>
                </c:pt>
                <c:pt idx="2">
                  <c:v>316.5212232647059</c:v>
                </c:pt>
                <c:pt idx="3">
                  <c:v>324.0212232647059</c:v>
                </c:pt>
                <c:pt idx="4">
                  <c:v>331.5212232647059</c:v>
                </c:pt>
                <c:pt idx="5">
                  <c:v>339.0212232647059</c:v>
                </c:pt>
                <c:pt idx="6">
                  <c:v>346.5212232647059</c:v>
                </c:pt>
                <c:pt idx="7">
                  <c:v>354.0212232647059</c:v>
                </c:pt>
                <c:pt idx="8">
                  <c:v>361.5212232647059</c:v>
                </c:pt>
                <c:pt idx="9">
                  <c:v>369.02122326470601</c:v>
                </c:pt>
                <c:pt idx="10">
                  <c:v>376.52122326470595</c:v>
                </c:pt>
                <c:pt idx="11">
                  <c:v>384.02122326470601</c:v>
                </c:pt>
                <c:pt idx="12">
                  <c:v>391.52122326470601</c:v>
                </c:pt>
                <c:pt idx="13">
                  <c:v>399.02122326470601</c:v>
                </c:pt>
                <c:pt idx="14">
                  <c:v>406.52122326470601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CB-4362-88F8-C0589A035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40064"/>
        <c:axId val="28441984"/>
      </c:lineChart>
      <c:catAx>
        <c:axId val="2844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41984"/>
        <c:crosses val="autoZero"/>
        <c:auto val="1"/>
        <c:lblAlgn val="ctr"/>
        <c:lblOffset val="100"/>
        <c:noMultiLvlLbl val="0"/>
      </c:catAx>
      <c:valAx>
        <c:axId val="28441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4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4289052578105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Prices!$O$7:$O$21</c:f>
              <c:numCache>
                <c:formatCode>_("$"* #,##0.00_);_("$"* \(#,##0.00\);_("$"* "-"??_);_(@_)</c:formatCode>
                <c:ptCount val="15"/>
                <c:pt idx="0">
                  <c:v>5.1441562225000013</c:v>
                </c:pt>
                <c:pt idx="1">
                  <c:v>5.6441562225000013</c:v>
                </c:pt>
                <c:pt idx="2">
                  <c:v>6.1441562225000013</c:v>
                </c:pt>
                <c:pt idx="3">
                  <c:v>6.6441562224999995</c:v>
                </c:pt>
                <c:pt idx="4">
                  <c:v>7.1441562224999995</c:v>
                </c:pt>
                <c:pt idx="5">
                  <c:v>7.6441562224999995</c:v>
                </c:pt>
                <c:pt idx="6">
                  <c:v>8.1441562224999995</c:v>
                </c:pt>
                <c:pt idx="7">
                  <c:v>8.644156222500003</c:v>
                </c:pt>
                <c:pt idx="8">
                  <c:v>9.144156222500003</c:v>
                </c:pt>
                <c:pt idx="9">
                  <c:v>9.644156222500003</c:v>
                </c:pt>
                <c:pt idx="10">
                  <c:v>10.144156222500003</c:v>
                </c:pt>
                <c:pt idx="11">
                  <c:v>10.644156222500007</c:v>
                </c:pt>
                <c:pt idx="12">
                  <c:v>11.144156222500007</c:v>
                </c:pt>
                <c:pt idx="13">
                  <c:v>11.644156222500007</c:v>
                </c:pt>
                <c:pt idx="14">
                  <c:v>12.144156222500007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CA-43F6-A1A2-97DE06BBE7A0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Prices!$O$28:$O$42</c:f>
              <c:numCache>
                <c:formatCode>_("$"* #,##0.00_);_("$"* \(#,##0.00\);_("$"* "-"??_);_(@_)</c:formatCode>
                <c:ptCount val="15"/>
                <c:pt idx="0">
                  <c:v>5.5292280325000016</c:v>
                </c:pt>
                <c:pt idx="1">
                  <c:v>5.9542280325000014</c:v>
                </c:pt>
                <c:pt idx="2">
                  <c:v>6.3792280325000013</c:v>
                </c:pt>
                <c:pt idx="3">
                  <c:v>6.8042280325000002</c:v>
                </c:pt>
                <c:pt idx="4">
                  <c:v>7.2292280325</c:v>
                </c:pt>
                <c:pt idx="5">
                  <c:v>7.6542280324999998</c:v>
                </c:pt>
                <c:pt idx="6">
                  <c:v>8.0792280324999997</c:v>
                </c:pt>
                <c:pt idx="7">
                  <c:v>8.5042280325000021</c:v>
                </c:pt>
                <c:pt idx="8">
                  <c:v>8.9292280325000011</c:v>
                </c:pt>
                <c:pt idx="9">
                  <c:v>9.3542280325000036</c:v>
                </c:pt>
                <c:pt idx="10">
                  <c:v>9.7792280325000043</c:v>
                </c:pt>
                <c:pt idx="11">
                  <c:v>10.204228032500005</c:v>
                </c:pt>
                <c:pt idx="12">
                  <c:v>10.629228032500006</c:v>
                </c:pt>
                <c:pt idx="13">
                  <c:v>11.054228032500008</c:v>
                </c:pt>
                <c:pt idx="14">
                  <c:v>11.479228032500007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CA-43F6-A1A2-97DE06BBE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7808"/>
        <c:axId val="28639616"/>
      </c:lineChart>
      <c:catAx>
        <c:axId val="2856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639616"/>
        <c:crosses val="autoZero"/>
        <c:auto val="1"/>
        <c:lblAlgn val="ctr"/>
        <c:lblOffset val="100"/>
        <c:noMultiLvlLbl val="0"/>
      </c:catAx>
      <c:valAx>
        <c:axId val="28639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67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06279649826"/>
          <c:y val="0.70803285073236799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254812</xdr:rowOff>
    </xdr:from>
    <xdr:to>
      <xdr:col>2</xdr:col>
      <xdr:colOff>1040423</xdr:colOff>
      <xdr:row>14</xdr:row>
      <xdr:rowOff>93786</xdr:rowOff>
    </xdr:to>
    <xdr:sp macro="" textlink="">
      <xdr:nvSpPr>
        <xdr:cNvPr id="2" name="Left Arrow 1"/>
        <xdr:cNvSpPr/>
      </xdr:nvSpPr>
      <xdr:spPr>
        <a:xfrm>
          <a:off x="3763840" y="833639"/>
          <a:ext cx="954698" cy="813455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14</xdr:row>
      <xdr:rowOff>175846</xdr:rowOff>
    </xdr:from>
    <xdr:to>
      <xdr:col>2</xdr:col>
      <xdr:colOff>1059472</xdr:colOff>
      <xdr:row>16</xdr:row>
      <xdr:rowOff>234460</xdr:rowOff>
    </xdr:to>
    <xdr:sp macro="" textlink="">
      <xdr:nvSpPr>
        <xdr:cNvPr id="3" name="Left Arrow 2"/>
        <xdr:cNvSpPr/>
      </xdr:nvSpPr>
      <xdr:spPr>
        <a:xfrm>
          <a:off x="3782889" y="1729154"/>
          <a:ext cx="954698" cy="637441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3</a:t>
          </a:r>
          <a:r>
            <a:rPr lang="en-US" sz="1800" b="1" baseline="30000">
              <a:solidFill>
                <a:sysClr val="windowText" lastClr="000000"/>
              </a:solidFill>
            </a:rPr>
            <a:t>rd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21</xdr:row>
      <xdr:rowOff>269466</xdr:rowOff>
    </xdr:from>
    <xdr:to>
      <xdr:col>2</xdr:col>
      <xdr:colOff>1040423</xdr:colOff>
      <xdr:row>25</xdr:row>
      <xdr:rowOff>108440</xdr:rowOff>
    </xdr:to>
    <xdr:sp macro="" textlink="">
      <xdr:nvSpPr>
        <xdr:cNvPr id="4" name="Left Arrow 3"/>
        <xdr:cNvSpPr/>
      </xdr:nvSpPr>
      <xdr:spPr>
        <a:xfrm>
          <a:off x="3763840" y="3852331"/>
          <a:ext cx="954698" cy="813455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25</xdr:row>
      <xdr:rowOff>168519</xdr:rowOff>
    </xdr:from>
    <xdr:to>
      <xdr:col>2</xdr:col>
      <xdr:colOff>1059472</xdr:colOff>
      <xdr:row>27</xdr:row>
      <xdr:rowOff>278423</xdr:rowOff>
    </xdr:to>
    <xdr:sp macro="" textlink="">
      <xdr:nvSpPr>
        <xdr:cNvPr id="5" name="Left Arrow 4"/>
        <xdr:cNvSpPr/>
      </xdr:nvSpPr>
      <xdr:spPr>
        <a:xfrm>
          <a:off x="3782889" y="4725865"/>
          <a:ext cx="954698" cy="68873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3</a:t>
          </a:r>
          <a:r>
            <a:rPr lang="en-US" sz="2000" b="1" baseline="30000">
              <a:solidFill>
                <a:sysClr val="windowText" lastClr="000000"/>
              </a:solidFill>
            </a:rPr>
            <a:t>rd</a:t>
          </a:r>
        </a:p>
      </xdr:txBody>
    </xdr:sp>
    <xdr:clientData/>
  </xdr:twoCellAnchor>
  <xdr:twoCellAnchor>
    <xdr:from>
      <xdr:col>2</xdr:col>
      <xdr:colOff>66675</xdr:colOff>
      <xdr:row>8</xdr:row>
      <xdr:rowOff>96634</xdr:rowOff>
    </xdr:from>
    <xdr:to>
      <xdr:col>2</xdr:col>
      <xdr:colOff>1021373</xdr:colOff>
      <xdr:row>10</xdr:row>
      <xdr:rowOff>97449</xdr:rowOff>
    </xdr:to>
    <xdr:sp macro="" textlink="">
      <xdr:nvSpPr>
        <xdr:cNvPr id="6" name="Left Arrow 5"/>
        <xdr:cNvSpPr/>
      </xdr:nvSpPr>
      <xdr:spPr>
        <a:xfrm>
          <a:off x="3744790" y="96634"/>
          <a:ext cx="954698" cy="579642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</a:p>
      </xdr:txBody>
    </xdr:sp>
    <xdr:clientData/>
  </xdr:twoCellAnchor>
  <xdr:twoCellAnchor>
    <xdr:from>
      <xdr:col>2</xdr:col>
      <xdr:colOff>57150</xdr:colOff>
      <xdr:row>19</xdr:row>
      <xdr:rowOff>118616</xdr:rowOff>
    </xdr:from>
    <xdr:to>
      <xdr:col>2</xdr:col>
      <xdr:colOff>1011848</xdr:colOff>
      <xdr:row>21</xdr:row>
      <xdr:rowOff>119430</xdr:rowOff>
    </xdr:to>
    <xdr:sp macro="" textlink="">
      <xdr:nvSpPr>
        <xdr:cNvPr id="7" name="Left Arrow 6"/>
        <xdr:cNvSpPr/>
      </xdr:nvSpPr>
      <xdr:spPr>
        <a:xfrm>
          <a:off x="3735265" y="3122654"/>
          <a:ext cx="954698" cy="57964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2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2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2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2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2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2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38100</xdr:rowOff>
    </xdr:from>
    <xdr:to>
      <xdr:col>12</xdr:col>
      <xdr:colOff>581025</xdr:colOff>
      <xdr:row>231</xdr:row>
      <xdr:rowOff>133350</xdr:rowOff>
    </xdr:to>
    <xdr:graphicFrame macro="">
      <xdr:nvGraphicFramePr>
        <xdr:cNvPr id="2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2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2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2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2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2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3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3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3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3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3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3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66675</xdr:rowOff>
    </xdr:from>
    <xdr:to>
      <xdr:col>12</xdr:col>
      <xdr:colOff>581025</xdr:colOff>
      <xdr:row>231</xdr:row>
      <xdr:rowOff>161925</xdr:rowOff>
    </xdr:to>
    <xdr:graphicFrame macro="">
      <xdr:nvGraphicFramePr>
        <xdr:cNvPr id="3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3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3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3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3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3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8" sqref="D8:D12"/>
    </sheetView>
  </sheetViews>
  <sheetFormatPr defaultColWidth="8.85546875" defaultRowHeight="12.75" x14ac:dyDescent="0.2"/>
  <cols>
    <col min="1" max="2" width="4" bestFit="1" customWidth="1"/>
    <col min="3" max="4" width="5.140625" bestFit="1" customWidth="1"/>
    <col min="5" max="5" width="4" bestFit="1" customWidth="1"/>
    <col min="6" max="6" width="6.85546875" bestFit="1" customWidth="1"/>
  </cols>
  <sheetData>
    <row r="1" spans="1:6" x14ac:dyDescent="0.2">
      <c r="A1" t="s">
        <v>180</v>
      </c>
      <c r="B1" t="s">
        <v>179</v>
      </c>
      <c r="C1" t="s">
        <v>183</v>
      </c>
      <c r="D1" t="s">
        <v>181</v>
      </c>
      <c r="E1" t="s">
        <v>182</v>
      </c>
    </row>
    <row r="2" spans="1:6" x14ac:dyDescent="0.2">
      <c r="A2">
        <v>850</v>
      </c>
      <c r="B2">
        <v>840</v>
      </c>
      <c r="C2">
        <v>404</v>
      </c>
      <c r="D2">
        <v>869</v>
      </c>
      <c r="E2">
        <v>516</v>
      </c>
      <c r="F2" t="s">
        <v>186</v>
      </c>
    </row>
    <row r="3" spans="1:6" x14ac:dyDescent="0.2">
      <c r="A3" s="320">
        <f>AVERAGE(600, 586)</f>
        <v>593</v>
      </c>
      <c r="B3" s="320">
        <f>AVERAGE(537,551)</f>
        <v>544</v>
      </c>
      <c r="C3" s="320">
        <f>AVERAGE(311,301)</f>
        <v>306</v>
      </c>
      <c r="D3" s="320">
        <f>AVERAGE(617,597)</f>
        <v>607</v>
      </c>
      <c r="E3" s="320">
        <f>AVERAGE(268, 273)</f>
        <v>270.5</v>
      </c>
      <c r="F3" t="s">
        <v>185</v>
      </c>
    </row>
    <row r="4" spans="1:6" x14ac:dyDescent="0.2">
      <c r="A4" s="320">
        <f>A2-A3</f>
        <v>257</v>
      </c>
      <c r="B4" s="320">
        <f>B2-B3</f>
        <v>296</v>
      </c>
      <c r="C4" s="320">
        <f>C2-C3</f>
        <v>98</v>
      </c>
      <c r="D4" s="320">
        <f>D2-D3</f>
        <v>262</v>
      </c>
      <c r="E4" s="320">
        <f>E2-E3</f>
        <v>245.5</v>
      </c>
      <c r="F4" t="s">
        <v>187</v>
      </c>
    </row>
    <row r="5" spans="1:6" x14ac:dyDescent="0.2">
      <c r="A5" s="320">
        <f>A4-185</f>
        <v>72</v>
      </c>
      <c r="B5" s="320">
        <f>B4-185</f>
        <v>111</v>
      </c>
      <c r="C5" s="320">
        <f>C4-185</f>
        <v>-87</v>
      </c>
      <c r="D5" s="320">
        <f>D4-185</f>
        <v>77</v>
      </c>
      <c r="E5" s="320">
        <f>E4-185</f>
        <v>60.5</v>
      </c>
      <c r="F5" t="s">
        <v>188</v>
      </c>
    </row>
    <row r="8" spans="1:6" x14ac:dyDescent="0.2">
      <c r="A8" t="s">
        <v>184</v>
      </c>
      <c r="B8" t="s">
        <v>179</v>
      </c>
      <c r="C8" t="s">
        <v>183</v>
      </c>
      <c r="D8" t="s">
        <v>181</v>
      </c>
      <c r="E8" t="s">
        <v>182</v>
      </c>
    </row>
    <row r="9" spans="1:6" x14ac:dyDescent="0.2">
      <c r="A9">
        <v>361</v>
      </c>
      <c r="B9">
        <v>525</v>
      </c>
      <c r="C9">
        <v>263</v>
      </c>
      <c r="D9">
        <v>630</v>
      </c>
      <c r="E9">
        <v>258</v>
      </c>
      <c r="F9" t="s">
        <v>186</v>
      </c>
    </row>
    <row r="10" spans="1:6" x14ac:dyDescent="0.2">
      <c r="A10" s="320">
        <f>AVERAGE(293,298)</f>
        <v>295.5</v>
      </c>
      <c r="B10" s="320">
        <f>AVERAGE(424, 445)</f>
        <v>434.5</v>
      </c>
      <c r="C10" s="320">
        <f>AVERAGE(199,198)</f>
        <v>198.5</v>
      </c>
      <c r="D10" s="320">
        <f>AVERAGE(537, 528)</f>
        <v>532.5</v>
      </c>
      <c r="E10" s="320">
        <f>AVERAGE(196, 208)</f>
        <v>202</v>
      </c>
      <c r="F10" t="s">
        <v>185</v>
      </c>
    </row>
    <row r="11" spans="1:6" x14ac:dyDescent="0.2">
      <c r="A11" s="320">
        <f>A9-A10</f>
        <v>65.5</v>
      </c>
      <c r="B11" s="320">
        <f>B9-B10</f>
        <v>90.5</v>
      </c>
      <c r="C11" s="320">
        <f>C9-C10</f>
        <v>64.5</v>
      </c>
      <c r="D11" s="320">
        <f>D9-D10</f>
        <v>97.5</v>
      </c>
      <c r="E11" s="320">
        <f>E9-E10</f>
        <v>56</v>
      </c>
      <c r="F11" t="s">
        <v>187</v>
      </c>
    </row>
    <row r="12" spans="1:6" x14ac:dyDescent="0.2">
      <c r="A12" s="320">
        <f>A11-75</f>
        <v>-9.5</v>
      </c>
      <c r="B12" s="320">
        <f>B11-75</f>
        <v>15.5</v>
      </c>
      <c r="C12" s="320">
        <f>C11-75</f>
        <v>-10.5</v>
      </c>
      <c r="D12" s="320">
        <f>D11-75</f>
        <v>22.5</v>
      </c>
      <c r="E12" s="320">
        <f>E11-75</f>
        <v>-19</v>
      </c>
      <c r="F12" t="s">
        <v>188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59"/>
  <sheetViews>
    <sheetView topLeftCell="A7" workbookViewId="0">
      <selection sqref="A1:I1"/>
    </sheetView>
  </sheetViews>
  <sheetFormatPr defaultColWidth="9.28515625" defaultRowHeight="12.75" x14ac:dyDescent="0.2"/>
  <cols>
    <col min="1" max="16384" width="9.28515625" style="75"/>
  </cols>
  <sheetData>
    <row r="1" spans="1:13" s="62" customFormat="1" ht="12" hidden="1" x14ac:dyDescent="0.2">
      <c r="B1" s="462" t="s">
        <v>46</v>
      </c>
      <c r="C1" s="462"/>
      <c r="D1" s="462"/>
      <c r="E1" s="462"/>
      <c r="F1" s="462"/>
      <c r="G1" s="462"/>
    </row>
    <row r="2" spans="1:13" s="62" customFormat="1" ht="12" hidden="1" x14ac:dyDescent="0.2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  <c r="G2" s="64" t="str">
        <f>Conventional!X6</f>
        <v>Wheat</v>
      </c>
    </row>
    <row r="3" spans="1:13" s="62" customFormat="1" ht="12" hidden="1" x14ac:dyDescent="0.2">
      <c r="A3" s="63" t="s">
        <v>41</v>
      </c>
      <c r="B3" s="65">
        <f>Conventional!L7</f>
        <v>750</v>
      </c>
      <c r="C3" s="65">
        <f>Conventional!N7</f>
        <v>3400</v>
      </c>
      <c r="D3" s="65">
        <f>Conventional!P7</f>
        <v>85</v>
      </c>
      <c r="E3" s="65">
        <f>Conventional!R7</f>
        <v>30</v>
      </c>
      <c r="F3" s="65">
        <f>Conventional!T7</f>
        <v>65</v>
      </c>
      <c r="G3" s="65">
        <f>Conventional!X7</f>
        <v>55</v>
      </c>
    </row>
    <row r="4" spans="1:13" s="62" customFormat="1" ht="12" hidden="1" x14ac:dyDescent="0.2">
      <c r="A4" s="62" t="s">
        <v>42</v>
      </c>
      <c r="B4" s="67">
        <f>Conventional!L8</f>
        <v>0.7</v>
      </c>
      <c r="C4" s="68">
        <f>Conventional!N8</f>
        <v>430</v>
      </c>
      <c r="D4" s="69">
        <f>Conventional!P8</f>
        <v>4.1500000000000004</v>
      </c>
      <c r="E4" s="69">
        <f>Conventional!R8</f>
        <v>9.5</v>
      </c>
      <c r="F4" s="69">
        <f>Conventional!T8</f>
        <v>3.75</v>
      </c>
      <c r="G4" s="69">
        <f>Conventional!X8</f>
        <v>4.1500000000000004</v>
      </c>
    </row>
    <row r="5" spans="1:13" s="62" customFormat="1" ht="12" hidden="1" x14ac:dyDescent="0.2">
      <c r="A5" s="70" t="s">
        <v>44</v>
      </c>
      <c r="B5" s="71">
        <f t="shared" ref="B5:G5" si="0">B3*B4</f>
        <v>525</v>
      </c>
      <c r="C5" s="71">
        <f>C3*C4/2000</f>
        <v>731</v>
      </c>
      <c r="D5" s="71">
        <f t="shared" si="0"/>
        <v>352.75000000000006</v>
      </c>
      <c r="E5" s="71">
        <f t="shared" si="0"/>
        <v>285</v>
      </c>
      <c r="F5" s="71">
        <f t="shared" si="0"/>
        <v>243.75</v>
      </c>
      <c r="G5" s="71">
        <f t="shared" si="0"/>
        <v>228.25000000000003</v>
      </c>
    </row>
    <row r="6" spans="1:13" s="62" customFormat="1" ht="12" hidden="1" x14ac:dyDescent="0.2">
      <c r="A6" s="70" t="s">
        <v>43</v>
      </c>
      <c r="B6" s="73">
        <f>Conventional!L30</f>
        <v>405.14175482954545</v>
      </c>
      <c r="C6" s="73">
        <f>Conventional!N30</f>
        <v>537.53577500000006</v>
      </c>
      <c r="D6" s="73">
        <f>Conventional!P30</f>
        <v>288.44969545000004</v>
      </c>
      <c r="E6" s="73">
        <f>Conventional!R30</f>
        <v>190.82653642500003</v>
      </c>
      <c r="F6" s="73">
        <f>Conventional!T30</f>
        <v>209.27475362499999</v>
      </c>
      <c r="G6" s="73">
        <f>Conventional!X30</f>
        <v>193.73654853750003</v>
      </c>
    </row>
    <row r="7" spans="1:13" s="62" customFormat="1" ht="15.75" x14ac:dyDescent="0.25">
      <c r="A7" s="465" t="s">
        <v>128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64" t="s">
        <v>153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</row>
    <row r="10" spans="1:13" x14ac:dyDescent="0.2">
      <c r="A10" s="458" t="s">
        <v>51</v>
      </c>
      <c r="B10" s="458"/>
      <c r="C10" s="458"/>
      <c r="D10" s="458"/>
      <c r="E10" s="458"/>
      <c r="F10" s="458"/>
      <c r="H10" s="458" t="s">
        <v>52</v>
      </c>
      <c r="I10" s="458"/>
      <c r="J10" s="458"/>
      <c r="K10" s="458"/>
      <c r="L10" s="458"/>
      <c r="M10" s="458"/>
    </row>
    <row r="11" spans="1:13" s="62" customFormat="1" ht="12" x14ac:dyDescent="0.2">
      <c r="A11" s="457" t="s">
        <v>36</v>
      </c>
      <c r="B11" s="457"/>
      <c r="C11" s="457"/>
      <c r="D11" s="457"/>
      <c r="E11" s="457"/>
      <c r="F11" s="457"/>
      <c r="H11" s="461" t="s">
        <v>36</v>
      </c>
      <c r="I11" s="461"/>
      <c r="J11" s="461"/>
      <c r="K11" s="461"/>
      <c r="L11" s="461"/>
      <c r="M11" s="461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2">
      <c r="A14" s="84">
        <f>Irrigated!A14</f>
        <v>2.9050000000000002</v>
      </c>
      <c r="B14" s="85">
        <f>$A$14*B$13-$D$6</f>
        <v>-103.25594545000001</v>
      </c>
      <c r="C14" s="85">
        <f>$A$14*C$13-$D$6</f>
        <v>-66.21719545000002</v>
      </c>
      <c r="D14" s="85">
        <f>$A$14*D$13-$D$6</f>
        <v>-41.524695450000024</v>
      </c>
      <c r="E14" s="85">
        <f>$A$14*E$13-$D$6</f>
        <v>-16.832195449999972</v>
      </c>
      <c r="F14" s="85">
        <f>$A$14*F$13-$D$6</f>
        <v>20.206554549999964</v>
      </c>
      <c r="H14" s="84">
        <f>Irrigated!H14</f>
        <v>0.48999999999999994</v>
      </c>
      <c r="I14" s="85">
        <f>$H$14*I$13-$B$6</f>
        <v>-129.5167548295455</v>
      </c>
      <c r="J14" s="85">
        <f>$H$14*J$13-$B$6</f>
        <v>-74.391754829545505</v>
      </c>
      <c r="K14" s="85">
        <f>$H$14*K$13-$B$6</f>
        <v>-37.641754829545505</v>
      </c>
      <c r="L14" s="85">
        <f>$H$14*L$13-$B$6</f>
        <v>-0.89175482954544805</v>
      </c>
      <c r="M14" s="85">
        <f>$H$14*M$13-$B$6</f>
        <v>54.233245170454495</v>
      </c>
    </row>
    <row r="15" spans="1:13" x14ac:dyDescent="0.2">
      <c r="A15" s="86">
        <f>Irrigated!A15</f>
        <v>3.5275000000000003</v>
      </c>
      <c r="B15" s="87">
        <f>$A$15*B$13-$D$6</f>
        <v>-63.571570450000024</v>
      </c>
      <c r="C15" s="87">
        <f>$A$15*C$13-$D$6</f>
        <v>-18.595945449999988</v>
      </c>
      <c r="D15" s="87">
        <f>$A$15*D$13-$D$6</f>
        <v>11.387804549999998</v>
      </c>
      <c r="E15" s="87">
        <f>$A$15*E$13-$D$6</f>
        <v>41.371554550000042</v>
      </c>
      <c r="F15" s="87">
        <f>$A$15*F$13-$D$6</f>
        <v>86.347179550000021</v>
      </c>
      <c r="H15" s="86">
        <f>Irrigated!H15</f>
        <v>0.59499999999999997</v>
      </c>
      <c r="I15" s="87">
        <f>$H$15*I$13-$B$6</f>
        <v>-70.454254829545448</v>
      </c>
      <c r="J15" s="87">
        <f>$H$15*J$13-$B$6</f>
        <v>-3.516754829545448</v>
      </c>
      <c r="K15" s="87">
        <f>$H$15*K$13-$B$6</f>
        <v>41.108245170454552</v>
      </c>
      <c r="L15" s="87">
        <f>$H$15*L$13-$B$6</f>
        <v>85.733245170454609</v>
      </c>
      <c r="M15" s="87">
        <f>$H$15*M$13-$B$6</f>
        <v>152.67074517045455</v>
      </c>
    </row>
    <row r="16" spans="1:13" x14ac:dyDescent="0.2">
      <c r="A16" s="86">
        <f>Irrigated!A16</f>
        <v>4.1500000000000004</v>
      </c>
      <c r="B16" s="87">
        <f>$A$16*B$13-$D$6</f>
        <v>-23.887195450000036</v>
      </c>
      <c r="C16" s="87">
        <f>$A$16*C$13-$D$6</f>
        <v>29.025304549999987</v>
      </c>
      <c r="D16" s="87">
        <f>$A$16*D$13-$D$6</f>
        <v>64.300304550000021</v>
      </c>
      <c r="E16" s="87">
        <f>$A$16*E$13-$D$6</f>
        <v>99.575304550000055</v>
      </c>
      <c r="F16" s="87">
        <f>$A$16*F$13-$D$6</f>
        <v>152.48780455000002</v>
      </c>
      <c r="H16" s="86">
        <f>Irrigated!H16</f>
        <v>0.7</v>
      </c>
      <c r="I16" s="87">
        <f>$H$16*I$13-$B$6</f>
        <v>-11.391754829545448</v>
      </c>
      <c r="J16" s="87">
        <f>$H$16*J$13-$B$6</f>
        <v>67.358245170454495</v>
      </c>
      <c r="K16" s="87">
        <f>$H$16*K$13-$B$6</f>
        <v>119.85824517045455</v>
      </c>
      <c r="L16" s="87">
        <f>$H$16*L$13-$B$6</f>
        <v>172.35824517045455</v>
      </c>
      <c r="M16" s="87">
        <f>$H$16*M$13-$B$6</f>
        <v>251.10824517045455</v>
      </c>
    </row>
    <row r="17" spans="1:13" x14ac:dyDescent="0.2">
      <c r="A17" s="86">
        <f>Irrigated!A17</f>
        <v>4.7725</v>
      </c>
      <c r="B17" s="87">
        <f>$A$17*B$13-$D$6</f>
        <v>15.797179549999953</v>
      </c>
      <c r="C17" s="87">
        <f>$A$17*C$13-$D$6</f>
        <v>76.646554549999962</v>
      </c>
      <c r="D17" s="87">
        <f>$A$17*D$13-$D$6</f>
        <v>117.21280454999999</v>
      </c>
      <c r="E17" s="87">
        <f>$A$17*E$13-$D$6</f>
        <v>157.77905455000001</v>
      </c>
      <c r="F17" s="87">
        <f>$A$17*F$13-$D$6</f>
        <v>218.62842954999996</v>
      </c>
      <c r="H17" s="86">
        <f>Irrigated!H17</f>
        <v>0.80499999999999994</v>
      </c>
      <c r="I17" s="87">
        <f>$H$17*I$13-$B$6</f>
        <v>47.670745170454495</v>
      </c>
      <c r="J17" s="87">
        <f>$H$17*J$13-$B$6</f>
        <v>138.23324517045455</v>
      </c>
      <c r="K17" s="87">
        <f>$H$17*K$13-$B$6</f>
        <v>198.60824517045455</v>
      </c>
      <c r="L17" s="87">
        <f>$H$17*L$13-$B$6</f>
        <v>258.98324517045455</v>
      </c>
      <c r="M17" s="87">
        <f>$H$17*M$13-$B$6</f>
        <v>349.54574517045444</v>
      </c>
    </row>
    <row r="18" spans="1:13" x14ac:dyDescent="0.2">
      <c r="A18" s="88">
        <f>Irrigated!A18</f>
        <v>5.3950000000000005</v>
      </c>
      <c r="B18" s="89">
        <f>$A$18*B$13-$D$6</f>
        <v>55.481554549999998</v>
      </c>
      <c r="C18" s="89">
        <f>$A$18*C$13-$D$6</f>
        <v>124.26780454999999</v>
      </c>
      <c r="D18" s="89">
        <f>$A$18*D$13-$D$6</f>
        <v>170.12530455000001</v>
      </c>
      <c r="E18" s="89">
        <f>$A$18*E$13-$D$6</f>
        <v>215.98280455000008</v>
      </c>
      <c r="F18" s="89">
        <f>$A$18*F$13-$D$6</f>
        <v>284.76905454999996</v>
      </c>
      <c r="H18" s="88">
        <f>Irrigated!H18</f>
        <v>0.90999999999999992</v>
      </c>
      <c r="I18" s="89">
        <f>$H$18*I$13-$B$6</f>
        <v>106.7332451704545</v>
      </c>
      <c r="J18" s="89">
        <f>$H$18*J$13-$B$6</f>
        <v>209.10824517045455</v>
      </c>
      <c r="K18" s="89">
        <f>$H$18*K$13-$B$6</f>
        <v>277.35824517045444</v>
      </c>
      <c r="L18" s="89">
        <f>$H$18*L$13-$B$6</f>
        <v>345.60824517045455</v>
      </c>
      <c r="M18" s="89">
        <f>$H$18*M$13-$B$6</f>
        <v>447.98324517045444</v>
      </c>
    </row>
    <row r="20" spans="1:13" x14ac:dyDescent="0.2">
      <c r="A20" s="458" t="s">
        <v>54</v>
      </c>
      <c r="B20" s="458"/>
      <c r="C20" s="458"/>
      <c r="D20" s="458"/>
      <c r="E20" s="458"/>
      <c r="F20" s="458"/>
      <c r="H20" s="459" t="s">
        <v>121</v>
      </c>
      <c r="I20" s="459"/>
      <c r="J20" s="459"/>
      <c r="K20" s="459"/>
      <c r="L20" s="459"/>
      <c r="M20" s="459"/>
    </row>
    <row r="21" spans="1:13" s="62" customFormat="1" ht="12" x14ac:dyDescent="0.2">
      <c r="A21" s="457" t="s">
        <v>36</v>
      </c>
      <c r="B21" s="457"/>
      <c r="C21" s="457"/>
      <c r="D21" s="457"/>
      <c r="E21" s="457"/>
      <c r="F21" s="457"/>
      <c r="H21" s="460" t="s">
        <v>36</v>
      </c>
      <c r="I21" s="460"/>
      <c r="J21" s="460"/>
      <c r="K21" s="460"/>
      <c r="L21" s="460"/>
      <c r="M21" s="460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2">
      <c r="A24" s="84">
        <f>Irrigated!A24</f>
        <v>2.625</v>
      </c>
      <c r="B24" s="85">
        <f>$A$24*B$23-$F$6</f>
        <v>-81.306003624999988</v>
      </c>
      <c r="C24" s="85">
        <f>$A$24*C$23-$F$6</f>
        <v>-55.712253624999988</v>
      </c>
      <c r="D24" s="85">
        <f>$A$24*D$23-$F$6</f>
        <v>-38.649753624999988</v>
      </c>
      <c r="E24" s="85">
        <f>$A$24*E$23-$F$6</f>
        <v>-21.587253624999988</v>
      </c>
      <c r="F24" s="85">
        <f>$A$24*F$23-$F$6</f>
        <v>4.0064963750000118</v>
      </c>
      <c r="H24" s="90">
        <f>Irrigated!H24</f>
        <v>301</v>
      </c>
      <c r="I24" s="85">
        <f>$H$24*I$23/2000-$C$6</f>
        <v>-153.76077500000008</v>
      </c>
      <c r="J24" s="85">
        <f>$H$24*J$23/2000-$C$6</f>
        <v>-77.005775000000085</v>
      </c>
      <c r="K24" s="85">
        <f>$H$24*K$23/2000-$C$6</f>
        <v>-25.835775000000069</v>
      </c>
      <c r="L24" s="85">
        <f>$H$24*L$23/2000-$C$6</f>
        <v>25.33422500000006</v>
      </c>
      <c r="M24" s="85">
        <f>$H$24*M$23/2000-$C$6</f>
        <v>102.08922499999994</v>
      </c>
    </row>
    <row r="25" spans="1:13" x14ac:dyDescent="0.2">
      <c r="A25" s="86">
        <f>Irrigated!A25</f>
        <v>3.1875</v>
      </c>
      <c r="B25" s="87">
        <f>$A$25*B$23-$F$6</f>
        <v>-53.884128624999988</v>
      </c>
      <c r="C25" s="87">
        <f>$A$25*C$23-$F$6</f>
        <v>-22.806003624999988</v>
      </c>
      <c r="D25" s="87">
        <f>$A$25*D$23-$F$6</f>
        <v>-2.0872536249999882</v>
      </c>
      <c r="E25" s="87">
        <f>$A$25*E$23-$F$6</f>
        <v>18.631496375000012</v>
      </c>
      <c r="F25" s="87">
        <f>$A$25*F$23-$F$6</f>
        <v>49.709621375000012</v>
      </c>
      <c r="H25" s="91">
        <f>Irrigated!H25</f>
        <v>365.5</v>
      </c>
      <c r="I25" s="87">
        <f>$H$25*I$23/2000-$C$6</f>
        <v>-71.523275000000069</v>
      </c>
      <c r="J25" s="87">
        <f>$H$25*J$23/2000-$C$6</f>
        <v>21.679224999999974</v>
      </c>
      <c r="K25" s="87">
        <f>$H$25*K$23/2000-$C$6</f>
        <v>83.814224999999965</v>
      </c>
      <c r="L25" s="87">
        <f>$H$25*L$23/2000-$C$6</f>
        <v>145.94922500000007</v>
      </c>
      <c r="M25" s="87">
        <f>$H$25*M$23/2000-$C$6</f>
        <v>239.15172499999994</v>
      </c>
    </row>
    <row r="26" spans="1:13" x14ac:dyDescent="0.2">
      <c r="A26" s="86">
        <f>Irrigated!A26</f>
        <v>3.75</v>
      </c>
      <c r="B26" s="87">
        <f>$A$26*B$23-$F$6</f>
        <v>-26.462253624999988</v>
      </c>
      <c r="C26" s="87">
        <f>$A$26*C$23-$F$6</f>
        <v>10.100246375000012</v>
      </c>
      <c r="D26" s="87">
        <f>$A$26*D$23-$F$6</f>
        <v>34.475246375000012</v>
      </c>
      <c r="E26" s="87">
        <f>$A$26*E$23-$F$6</f>
        <v>58.850246375000012</v>
      </c>
      <c r="F26" s="87">
        <f>$A$26*F$23-$F$6</f>
        <v>95.412746375000012</v>
      </c>
      <c r="H26" s="91">
        <f>Irrigated!H26</f>
        <v>430</v>
      </c>
      <c r="I26" s="87">
        <f>$H$26*I$23/2000-$C$6</f>
        <v>10.714224999999942</v>
      </c>
      <c r="J26" s="87">
        <f>$H$26*J$23/2000-$C$6</f>
        <v>120.36422499999992</v>
      </c>
      <c r="K26" s="87">
        <f>$H$26*K$23/2000-$C$6</f>
        <v>193.46422499999994</v>
      </c>
      <c r="L26" s="87">
        <f>$H$26*L$23/2000-$C$6</f>
        <v>266.56422500000008</v>
      </c>
      <c r="M26" s="87">
        <f>$H$26*M$23/2000-$C$6</f>
        <v>376.21422499999994</v>
      </c>
    </row>
    <row r="27" spans="1:13" x14ac:dyDescent="0.2">
      <c r="A27" s="86">
        <f>Irrigated!A27</f>
        <v>4.3125</v>
      </c>
      <c r="B27" s="87">
        <f>$A$27*B$23-$F$6</f>
        <v>0.95962137500001177</v>
      </c>
      <c r="C27" s="87">
        <f>$A$27*C$23-$F$6</f>
        <v>43.006496375000012</v>
      </c>
      <c r="D27" s="87">
        <f>$A$27*D$23-$F$6</f>
        <v>71.037746375000012</v>
      </c>
      <c r="E27" s="87">
        <f>$A$27*E$23-$F$6</f>
        <v>99.068996375000012</v>
      </c>
      <c r="F27" s="87">
        <f>$A$27*F$23-$F$6</f>
        <v>141.11587137500001</v>
      </c>
      <c r="H27" s="91">
        <f>Irrigated!H27</f>
        <v>494.49999999999994</v>
      </c>
      <c r="I27" s="87">
        <f>$H$27*I$23/2000-$C$6</f>
        <v>92.951724999999783</v>
      </c>
      <c r="J27" s="87">
        <f>$H$27*J$23/2000-$C$6</f>
        <v>219.04922499999986</v>
      </c>
      <c r="K27" s="87">
        <f>$H$27*K$23/2000-$C$6</f>
        <v>303.11422499999981</v>
      </c>
      <c r="L27" s="87">
        <f>$H$27*L$23/2000-$C$6</f>
        <v>387.17922499999997</v>
      </c>
      <c r="M27" s="87">
        <f>$H$27*M$23/2000-$C$6</f>
        <v>513.27672499999971</v>
      </c>
    </row>
    <row r="28" spans="1:13" x14ac:dyDescent="0.2">
      <c r="A28" s="88">
        <f>Irrigated!A28</f>
        <v>4.875</v>
      </c>
      <c r="B28" s="89">
        <f>$A$28*B$23-$F$6</f>
        <v>28.381496375000012</v>
      </c>
      <c r="C28" s="89">
        <f>$A$28*C$23-$F$6</f>
        <v>75.912746375000012</v>
      </c>
      <c r="D28" s="89">
        <f>$A$28*D$23-$F$6</f>
        <v>107.60024637500001</v>
      </c>
      <c r="E28" s="89">
        <f>$A$28*E$23-$F$6</f>
        <v>139.28774637500001</v>
      </c>
      <c r="F28" s="89">
        <f>$A$28*F$23-$F$6</f>
        <v>186.81899637500001</v>
      </c>
      <c r="H28" s="92">
        <f>Irrigated!H28</f>
        <v>559</v>
      </c>
      <c r="I28" s="89">
        <f>$H$28*I$23/2000-$C$6</f>
        <v>175.18922499999996</v>
      </c>
      <c r="J28" s="89">
        <f>$H$28*J$23/2000-$C$6</f>
        <v>317.73422499999992</v>
      </c>
      <c r="K28" s="89">
        <f>$H$28*K$23/2000-$C$6</f>
        <v>412.7642249999999</v>
      </c>
      <c r="L28" s="89">
        <f>$H$28*L$23/2000-$C$6</f>
        <v>507.7942250000001</v>
      </c>
      <c r="M28" s="89">
        <f>$H$28*M$23/2000-$C$6</f>
        <v>650.33922499999994</v>
      </c>
    </row>
    <row r="30" spans="1:13" x14ac:dyDescent="0.2">
      <c r="A30" s="458" t="s">
        <v>53</v>
      </c>
      <c r="B30" s="458"/>
      <c r="C30" s="458"/>
      <c r="D30" s="458"/>
      <c r="E30" s="458"/>
      <c r="F30" s="458"/>
      <c r="H30" s="458" t="s">
        <v>63</v>
      </c>
      <c r="I30" s="458"/>
      <c r="J30" s="458"/>
      <c r="K30" s="458"/>
      <c r="L30" s="458"/>
      <c r="M30" s="458"/>
    </row>
    <row r="31" spans="1:13" s="62" customFormat="1" ht="12" x14ac:dyDescent="0.2">
      <c r="A31" s="457" t="s">
        <v>36</v>
      </c>
      <c r="B31" s="457"/>
      <c r="C31" s="457"/>
      <c r="D31" s="457"/>
      <c r="E31" s="457"/>
      <c r="F31" s="457"/>
      <c r="H31" s="457" t="s">
        <v>36</v>
      </c>
      <c r="I31" s="457"/>
      <c r="J31" s="457"/>
      <c r="K31" s="457"/>
      <c r="L31" s="457"/>
      <c r="M31" s="457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2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H33" s="83" t="s">
        <v>42</v>
      </c>
      <c r="I33" s="78">
        <f>0.75*K33</f>
        <v>41.25</v>
      </c>
      <c r="J33" s="78">
        <f>0.9*K33</f>
        <v>49.5</v>
      </c>
      <c r="K33" s="78">
        <f>G3</f>
        <v>55</v>
      </c>
      <c r="L33" s="78">
        <f>K33*1.1</f>
        <v>60.500000000000007</v>
      </c>
      <c r="M33" s="78">
        <f>K33*1.25</f>
        <v>68.75</v>
      </c>
    </row>
    <row r="34" spans="1:13" x14ac:dyDescent="0.2">
      <c r="A34" s="84">
        <f>Irrigated!A34</f>
        <v>6.6499999999999995</v>
      </c>
      <c r="B34" s="85">
        <f>$A$34*B$33-$E$6</f>
        <v>-41.201536425000029</v>
      </c>
      <c r="C34" s="85">
        <f>$A$34*C$33-$E$6</f>
        <v>-11.276536425000046</v>
      </c>
      <c r="D34" s="85">
        <f>$A$34*D$33-$E$6</f>
        <v>8.6734635749999427</v>
      </c>
      <c r="E34" s="85">
        <f>$A$34*E$33-$E$6</f>
        <v>28.62346357499996</v>
      </c>
      <c r="F34" s="85">
        <f>$A$34*F$33-$E$6</f>
        <v>58.548463574999943</v>
      </c>
      <c r="H34" s="84">
        <f>Irrigated!H34</f>
        <v>2.9050000000000002</v>
      </c>
      <c r="I34" s="85">
        <f>$H$34*I$33-$G$6</f>
        <v>-73.905298537500016</v>
      </c>
      <c r="J34" s="85">
        <f>$H$34*J$33-$G$6</f>
        <v>-49.939048537500014</v>
      </c>
      <c r="K34" s="85">
        <f>$H$34*K$33-$G$6</f>
        <v>-33.961548537500022</v>
      </c>
      <c r="L34" s="85">
        <f>$H$34*L$33-$G$6</f>
        <v>-17.984048537500001</v>
      </c>
      <c r="M34" s="85">
        <f>$H$34*M$33-$G$6</f>
        <v>5.9822014625000008</v>
      </c>
    </row>
    <row r="35" spans="1:13" x14ac:dyDescent="0.2">
      <c r="A35" s="86">
        <f>Irrigated!A35</f>
        <v>8.0749999999999993</v>
      </c>
      <c r="B35" s="87">
        <f>$A$35*B$33-$E$6</f>
        <v>-9.1390364250000573</v>
      </c>
      <c r="C35" s="87">
        <f>$A$35*C$33-$E$6</f>
        <v>27.198463574999948</v>
      </c>
      <c r="D35" s="87">
        <f>$A$35*D$33-$E$6</f>
        <v>51.423463574999943</v>
      </c>
      <c r="E35" s="87">
        <f>$A$35*E$33-$E$6</f>
        <v>75.648463574999937</v>
      </c>
      <c r="F35" s="87">
        <f>$A$35*F$33-$E$6</f>
        <v>111.98596357499997</v>
      </c>
      <c r="H35" s="86">
        <f>Irrigated!H35</f>
        <v>3.5275000000000003</v>
      </c>
      <c r="I35" s="87">
        <f>$H$35*I$33-$G$6</f>
        <v>-48.227173537500022</v>
      </c>
      <c r="J35" s="87">
        <f>$H$35*J$33-$G$6</f>
        <v>-19.125298537500015</v>
      </c>
      <c r="K35" s="87">
        <f>$H$35*K$33-$G$6</f>
        <v>0.27595146249998947</v>
      </c>
      <c r="L35" s="87">
        <f>$H$35*L$33-$G$6</f>
        <v>19.677201462500022</v>
      </c>
      <c r="M35" s="87">
        <f>$H$35*M$33-$G$6</f>
        <v>48.779076462500001</v>
      </c>
    </row>
    <row r="36" spans="1:13" x14ac:dyDescent="0.2">
      <c r="A36" s="86">
        <f>Irrigated!A36</f>
        <v>9.5</v>
      </c>
      <c r="B36" s="87">
        <f>$A$36*B$33-$E$6</f>
        <v>22.923463574999971</v>
      </c>
      <c r="C36" s="87">
        <f>$A$36*C$33-$E$6</f>
        <v>65.673463574999971</v>
      </c>
      <c r="D36" s="87">
        <f>$A$36*D$33-$E$6</f>
        <v>94.173463574999971</v>
      </c>
      <c r="E36" s="87">
        <f>$A$36*E$33-$E$6</f>
        <v>122.67346357499997</v>
      </c>
      <c r="F36" s="87">
        <f>$A$36*F$33-$E$6</f>
        <v>165.42346357499997</v>
      </c>
      <c r="H36" s="86">
        <f>Irrigated!H36</f>
        <v>4.1500000000000004</v>
      </c>
      <c r="I36" s="87">
        <f>$H$36*I$33-$G$6</f>
        <v>-22.549048537499999</v>
      </c>
      <c r="J36" s="87">
        <f>$H$36*J$33-$G$6</f>
        <v>11.688451462499984</v>
      </c>
      <c r="K36" s="87">
        <f>$H$36*K$33-$G$6</f>
        <v>34.513451462500001</v>
      </c>
      <c r="L36" s="87">
        <f>$H$36*L$33-$G$6</f>
        <v>57.338451462500018</v>
      </c>
      <c r="M36" s="87">
        <f>$H$36*M$33-$G$6</f>
        <v>91.575951462499972</v>
      </c>
    </row>
    <row r="37" spans="1:13" x14ac:dyDescent="0.2">
      <c r="A37" s="86">
        <f>Irrigated!A37</f>
        <v>10.924999999999999</v>
      </c>
      <c r="B37" s="87">
        <f>$A$37*B$33-$E$6</f>
        <v>54.985963574999943</v>
      </c>
      <c r="C37" s="87">
        <f>$A$37*C$33-$E$6</f>
        <v>104.14846357499994</v>
      </c>
      <c r="D37" s="87">
        <f>$A$37*D$33-$E$6</f>
        <v>136.92346357499991</v>
      </c>
      <c r="E37" s="87">
        <f>$A$37*E$33-$E$6</f>
        <v>169.69846357499995</v>
      </c>
      <c r="F37" s="87">
        <f>$A$37*F$33-$E$6</f>
        <v>218.86096357499991</v>
      </c>
      <c r="H37" s="86">
        <f>Irrigated!H37</f>
        <v>4.7725</v>
      </c>
      <c r="I37" s="87">
        <f>$H$37*I$33-$G$6</f>
        <v>3.1290764624999667</v>
      </c>
      <c r="J37" s="87">
        <f>$H$37*J$33-$G$6</f>
        <v>42.502201462499983</v>
      </c>
      <c r="K37" s="87">
        <f>$H$37*K$33-$G$6</f>
        <v>68.750951462499984</v>
      </c>
      <c r="L37" s="87">
        <f>$H$37*L$33-$G$6</f>
        <v>94.999701462500013</v>
      </c>
      <c r="M37" s="87">
        <f>$H$37*M$33-$G$6</f>
        <v>134.37282646249997</v>
      </c>
    </row>
    <row r="38" spans="1:13" x14ac:dyDescent="0.2">
      <c r="A38" s="88">
        <f>Irrigated!A38</f>
        <v>12.35</v>
      </c>
      <c r="B38" s="89">
        <f>$A$38*B$33-$E$6</f>
        <v>87.048463574999971</v>
      </c>
      <c r="C38" s="89">
        <f>$A$38*C$33-$E$6</f>
        <v>142.62346357499996</v>
      </c>
      <c r="D38" s="89">
        <f>$A$38*D$33-$E$6</f>
        <v>179.67346357499997</v>
      </c>
      <c r="E38" s="89">
        <f>$A$38*E$33-$E$6</f>
        <v>216.72346357499998</v>
      </c>
      <c r="F38" s="89">
        <f>$A$38*F$33-$E$6</f>
        <v>272.29846357499997</v>
      </c>
      <c r="H38" s="88">
        <f>Irrigated!H38</f>
        <v>5.3950000000000005</v>
      </c>
      <c r="I38" s="89">
        <f>$H$38*I$33-$G$6</f>
        <v>28.807201462499989</v>
      </c>
      <c r="J38" s="89">
        <f>$H$38*J$33-$G$6</f>
        <v>73.315951462499982</v>
      </c>
      <c r="K38" s="89">
        <f>$H$38*K$33-$G$6</f>
        <v>102.9884514625</v>
      </c>
      <c r="L38" s="89">
        <f>$H$38*L$33-$G$6</f>
        <v>132.66095146250007</v>
      </c>
      <c r="M38" s="89">
        <f>$H$38*M$33-$G$6</f>
        <v>177.16970146250003</v>
      </c>
    </row>
    <row r="39" spans="1:13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5">
    <mergeCell ref="A10:F10"/>
    <mergeCell ref="A11:F11"/>
    <mergeCell ref="B1:G1"/>
    <mergeCell ref="A7:M7"/>
    <mergeCell ref="H10:M10"/>
    <mergeCell ref="H11:M11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34:F38 B24:F28">
    <cfRule type="cellIs" dxfId="2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ignoredErrors>
    <ignoredError sqref="A29:F29 A19:F19 A57:F57 A47:F47" numberStoredAsText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59"/>
  <sheetViews>
    <sheetView topLeftCell="A7" workbookViewId="0">
      <selection sqref="A1:I1"/>
    </sheetView>
  </sheetViews>
  <sheetFormatPr defaultColWidth="9.7109375" defaultRowHeight="12.75" x14ac:dyDescent="0.2"/>
  <cols>
    <col min="1" max="13" width="9.28515625" style="75" customWidth="1"/>
    <col min="14" max="14" width="6.42578125" style="75" bestFit="1" customWidth="1"/>
    <col min="15" max="16384" width="9.7109375" style="75"/>
  </cols>
  <sheetData>
    <row r="1" spans="1:13" s="62" customFormat="1" ht="12" hidden="1" x14ac:dyDescent="0.2">
      <c r="A1" s="61"/>
      <c r="B1" s="466" t="s">
        <v>45</v>
      </c>
      <c r="C1" s="466"/>
      <c r="D1" s="466"/>
      <c r="E1" s="466"/>
      <c r="F1" s="466"/>
      <c r="G1" s="61"/>
    </row>
    <row r="2" spans="1:13" s="62" customFormat="1" ht="12" hidden="1" x14ac:dyDescent="0.2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</row>
    <row r="3" spans="1:13" s="62" customFormat="1" ht="12" hidden="1" x14ac:dyDescent="0.2">
      <c r="A3" s="63" t="s">
        <v>41</v>
      </c>
      <c r="B3" s="65">
        <f>'Strip-Till'!B7</f>
        <v>1200</v>
      </c>
      <c r="C3" s="65">
        <f>'Strip-Till'!D7</f>
        <v>4700</v>
      </c>
      <c r="D3" s="65">
        <f>'Strip-Till'!F7</f>
        <v>200</v>
      </c>
      <c r="E3" s="65">
        <f>'Strip-Till'!H7</f>
        <v>60</v>
      </c>
      <c r="F3" s="65">
        <f>'Strip-Till'!J7</f>
        <v>100</v>
      </c>
    </row>
    <row r="4" spans="1:13" s="62" customFormat="1" ht="12" hidden="1" x14ac:dyDescent="0.2">
      <c r="A4" s="62" t="s">
        <v>42</v>
      </c>
      <c r="B4" s="67">
        <f>'Strip-Till'!B8</f>
        <v>0.7</v>
      </c>
      <c r="C4" s="68">
        <f>'Strip-Till'!D8</f>
        <v>430</v>
      </c>
      <c r="D4" s="69">
        <f>'Strip-Till'!F8</f>
        <v>4.1500000000000004</v>
      </c>
      <c r="E4" s="69">
        <f>'Strip-Till'!H8</f>
        <v>9.5</v>
      </c>
      <c r="F4" s="69">
        <f>'Strip-Till'!J8</f>
        <v>3.75</v>
      </c>
      <c r="G4" s="69"/>
    </row>
    <row r="5" spans="1:13" s="62" customFormat="1" ht="12" hidden="1" x14ac:dyDescent="0.2">
      <c r="A5" s="70" t="s">
        <v>44</v>
      </c>
      <c r="B5" s="71">
        <f>B3*B4</f>
        <v>840</v>
      </c>
      <c r="C5" s="71">
        <f>C3*C4/2000</f>
        <v>1010.5</v>
      </c>
      <c r="D5" s="71">
        <f>D3*D4</f>
        <v>830.00000000000011</v>
      </c>
      <c r="E5" s="71">
        <f>E3*E4</f>
        <v>570</v>
      </c>
      <c r="F5" s="71">
        <f>F3*F4</f>
        <v>375</v>
      </c>
      <c r="G5" s="72"/>
    </row>
    <row r="6" spans="1:13" s="62" customFormat="1" ht="12" hidden="1" x14ac:dyDescent="0.2">
      <c r="A6" s="70" t="s">
        <v>43</v>
      </c>
      <c r="B6" s="73">
        <f>'Strip-Till'!B31</f>
        <v>503.40583422727275</v>
      </c>
      <c r="C6" s="73">
        <f>'Strip-Till'!D31</f>
        <v>618.53767500000004</v>
      </c>
      <c r="D6" s="73">
        <f>'Strip-Till'!F31</f>
        <v>553.66307500000005</v>
      </c>
      <c r="E6" s="73">
        <f>'Strip-Till'!H31</f>
        <v>250.94414834999998</v>
      </c>
      <c r="F6" s="73">
        <f>'Strip-Till'!J31</f>
        <v>292.3655</v>
      </c>
      <c r="G6" s="68"/>
    </row>
    <row r="7" spans="1:13" s="62" customFormat="1" ht="15.75" x14ac:dyDescent="0.25">
      <c r="A7" s="465" t="s">
        <v>129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64" t="s">
        <v>153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</row>
    <row r="10" spans="1:13" x14ac:dyDescent="0.2">
      <c r="A10" s="458" t="s">
        <v>55</v>
      </c>
      <c r="B10" s="458"/>
      <c r="C10" s="458"/>
      <c r="D10" s="458"/>
      <c r="E10" s="458"/>
      <c r="F10" s="458"/>
      <c r="H10" s="458" t="s">
        <v>56</v>
      </c>
      <c r="I10" s="458"/>
      <c r="J10" s="458"/>
      <c r="K10" s="458"/>
      <c r="L10" s="458"/>
      <c r="M10" s="458"/>
    </row>
    <row r="11" spans="1:13" s="62" customFormat="1" ht="12" x14ac:dyDescent="0.2">
      <c r="A11" s="457" t="s">
        <v>36</v>
      </c>
      <c r="B11" s="457"/>
      <c r="C11" s="457"/>
      <c r="D11" s="457"/>
      <c r="E11" s="457"/>
      <c r="F11" s="457"/>
      <c r="H11" s="461" t="s">
        <v>36</v>
      </c>
      <c r="I11" s="461"/>
      <c r="J11" s="461"/>
      <c r="K11" s="461"/>
      <c r="L11" s="461"/>
      <c r="M11" s="461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2">
      <c r="A14" s="84">
        <f>Irrigated!A14</f>
        <v>2.9050000000000002</v>
      </c>
      <c r="B14" s="85">
        <f>$A$14*B$13-$D$6</f>
        <v>-117.91307499999999</v>
      </c>
      <c r="C14" s="85">
        <f>$A$14*C$13-$D$6</f>
        <v>-30.763074999999958</v>
      </c>
      <c r="D14" s="85">
        <f>$A$14*D$13-$D$6</f>
        <v>27.336924999999951</v>
      </c>
      <c r="E14" s="85">
        <f>$A$14*E$13-$D$6</f>
        <v>85.436925000000087</v>
      </c>
      <c r="F14" s="85">
        <f>$A$14*F$13-$D$6</f>
        <v>172.58692500000006</v>
      </c>
      <c r="H14" s="84">
        <f>Irrigated!H14</f>
        <v>0.48999999999999994</v>
      </c>
      <c r="I14" s="87">
        <f>$H$14*$I$13-$B$6</f>
        <v>-62.405834227272805</v>
      </c>
      <c r="J14" s="87">
        <f>$H$14*J13-$B$6</f>
        <v>25.794165772727183</v>
      </c>
      <c r="K14" s="87">
        <f>$H$14*K13-$B$6</f>
        <v>84.594165772727138</v>
      </c>
      <c r="L14" s="87">
        <f>$H$14*L13-$B$6</f>
        <v>143.39416577272721</v>
      </c>
      <c r="M14" s="87">
        <f>$H$14*M13-$B$6</f>
        <v>231.59416577272714</v>
      </c>
    </row>
    <row r="15" spans="1:13" x14ac:dyDescent="0.2">
      <c r="A15" s="86">
        <f>Irrigated!A15</f>
        <v>3.5275000000000003</v>
      </c>
      <c r="B15" s="87">
        <f>$A$15*B$13-$D$6</f>
        <v>-24.538075000000049</v>
      </c>
      <c r="C15" s="87">
        <f>$A$15*C$13-$D$6</f>
        <v>81.286924999999997</v>
      </c>
      <c r="D15" s="87">
        <f>$A$15*D$13-$D$6</f>
        <v>151.83692500000006</v>
      </c>
      <c r="E15" s="87">
        <f>$A$15*E$13-$D$6</f>
        <v>222.38692500000013</v>
      </c>
      <c r="F15" s="87">
        <f>$A$15*F$13-$D$6</f>
        <v>328.21192500000006</v>
      </c>
      <c r="H15" s="86">
        <f>Irrigated!H15</f>
        <v>0.59499999999999997</v>
      </c>
      <c r="I15" s="87">
        <f>$H$15*$I$13-$B$6</f>
        <v>32.094165772727251</v>
      </c>
      <c r="J15" s="87">
        <f>$H$15*J13-$B$6</f>
        <v>139.19416577272727</v>
      </c>
      <c r="K15" s="87">
        <f>$H$15*K13-$B$6</f>
        <v>210.59416577272725</v>
      </c>
      <c r="L15" s="87">
        <f>$H$15*L13-$B$6</f>
        <v>281.99416577272723</v>
      </c>
      <c r="M15" s="87">
        <f>$H$15*M13-$B$6</f>
        <v>389.09416577272725</v>
      </c>
    </row>
    <row r="16" spans="1:13" x14ac:dyDescent="0.2">
      <c r="A16" s="86">
        <f>Irrigated!A16</f>
        <v>4.1500000000000004</v>
      </c>
      <c r="B16" s="87">
        <f>$A$16*B$13-$D$6</f>
        <v>68.836924999999951</v>
      </c>
      <c r="C16" s="87">
        <f>$A$16*C$13-$D$6</f>
        <v>193.33692500000006</v>
      </c>
      <c r="D16" s="87">
        <f>$A$16*D$13-$D$6</f>
        <v>276.33692500000006</v>
      </c>
      <c r="E16" s="87">
        <f>$A$16*E$13-$D$6</f>
        <v>359.33692500000018</v>
      </c>
      <c r="F16" s="87">
        <f>$A$16*F$13-$D$6</f>
        <v>483.83692499999995</v>
      </c>
      <c r="H16" s="86">
        <f>Irrigated!H16</f>
        <v>0.7</v>
      </c>
      <c r="I16" s="87">
        <f>$H$16*$I$13-$B$6</f>
        <v>126.59416577272725</v>
      </c>
      <c r="J16" s="87">
        <f>$H$16*J13-$B$6</f>
        <v>252.59416577272725</v>
      </c>
      <c r="K16" s="87">
        <f>$H$16*K13-$B$6</f>
        <v>336.59416577272725</v>
      </c>
      <c r="L16" s="87">
        <f>$H$16*L13-$B$6</f>
        <v>420.59416577272714</v>
      </c>
      <c r="M16" s="87">
        <f>$H$16*M13-$B$6</f>
        <v>546.59416577272725</v>
      </c>
    </row>
    <row r="17" spans="1:13" x14ac:dyDescent="0.2">
      <c r="A17" s="86">
        <f>Irrigated!A17</f>
        <v>4.7725</v>
      </c>
      <c r="B17" s="87">
        <f>$A$17*B$13-$D$6</f>
        <v>162.21192499999995</v>
      </c>
      <c r="C17" s="87">
        <f>$A$17*C$13-$D$6</f>
        <v>305.38692499999991</v>
      </c>
      <c r="D17" s="87">
        <f>$A$17*D$13-$D$6</f>
        <v>400.83692499999995</v>
      </c>
      <c r="E17" s="87">
        <f>$A$17*E$13-$D$6</f>
        <v>496.286925</v>
      </c>
      <c r="F17" s="87">
        <f>$A$17*F$13-$D$6</f>
        <v>639.46192499999995</v>
      </c>
      <c r="H17" s="86">
        <f>Irrigated!H17</f>
        <v>0.80499999999999994</v>
      </c>
      <c r="I17" s="87">
        <f>$H$17*$I$13-$B$6</f>
        <v>221.09416577272725</v>
      </c>
      <c r="J17" s="87">
        <f>$H$17*J13-$B$6</f>
        <v>365.99416577272723</v>
      </c>
      <c r="K17" s="87">
        <f>$H$17*K13-$B$6</f>
        <v>462.59416577272714</v>
      </c>
      <c r="L17" s="87">
        <f>$H$17*L13-$B$6</f>
        <v>559.19416577272716</v>
      </c>
      <c r="M17" s="87">
        <f>$H$17*M13-$B$6</f>
        <v>704.09416577272725</v>
      </c>
    </row>
    <row r="18" spans="1:13" x14ac:dyDescent="0.2">
      <c r="A18" s="88">
        <f>Irrigated!A18</f>
        <v>5.3950000000000005</v>
      </c>
      <c r="B18" s="89">
        <f>$A$18*B$13-$D$6</f>
        <v>255.58692500000006</v>
      </c>
      <c r="C18" s="89">
        <f>$A$18*C$13-$D$6</f>
        <v>417.43692500000009</v>
      </c>
      <c r="D18" s="89">
        <f>$A$18*D$13-$D$6</f>
        <v>525.33692499999995</v>
      </c>
      <c r="E18" s="89">
        <f>$A$18*E$13-$D$6</f>
        <v>633.23692500000027</v>
      </c>
      <c r="F18" s="89">
        <f>$A$18*F$13-$D$6</f>
        <v>795.08692500000018</v>
      </c>
      <c r="H18" s="88">
        <f>Irrigated!H18</f>
        <v>0.90999999999999992</v>
      </c>
      <c r="I18" s="89">
        <f>$H$18*$I$13-$B$6</f>
        <v>315.59416577272714</v>
      </c>
      <c r="J18" s="89">
        <f>$H$18*J13-$B$6</f>
        <v>479.39416577272721</v>
      </c>
      <c r="K18" s="89">
        <f>$H$18*K13-$B$6</f>
        <v>588.59416577272725</v>
      </c>
      <c r="L18" s="89">
        <f>$H$18*L13-$B$6</f>
        <v>697.79416577272707</v>
      </c>
      <c r="M18" s="89">
        <f>$H$18*M13-$B$6</f>
        <v>861.59416577272702</v>
      </c>
    </row>
    <row r="20" spans="1:13" x14ac:dyDescent="0.2">
      <c r="A20" s="458" t="s">
        <v>57</v>
      </c>
      <c r="B20" s="458"/>
      <c r="C20" s="458"/>
      <c r="D20" s="458"/>
      <c r="E20" s="458"/>
      <c r="F20" s="458"/>
      <c r="H20" s="459" t="s">
        <v>122</v>
      </c>
      <c r="I20" s="459"/>
      <c r="J20" s="459"/>
      <c r="K20" s="459"/>
      <c r="L20" s="459"/>
      <c r="M20" s="459"/>
    </row>
    <row r="21" spans="1:13" s="62" customFormat="1" ht="12" x14ac:dyDescent="0.2">
      <c r="A21" s="457" t="s">
        <v>36</v>
      </c>
      <c r="B21" s="457"/>
      <c r="C21" s="457"/>
      <c r="D21" s="457"/>
      <c r="E21" s="457"/>
      <c r="F21" s="457"/>
      <c r="H21" s="460" t="s">
        <v>36</v>
      </c>
      <c r="I21" s="460"/>
      <c r="J21" s="460"/>
      <c r="K21" s="460"/>
      <c r="L21" s="460"/>
      <c r="M21" s="460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2">
      <c r="A24" s="84">
        <f>Irrigated!A24</f>
        <v>2.625</v>
      </c>
      <c r="B24" s="85">
        <f>$A$24*B$23-$F$6</f>
        <v>-95.490499999999997</v>
      </c>
      <c r="C24" s="85">
        <f>$A$24*C$23-$F$6</f>
        <v>-56.115499999999997</v>
      </c>
      <c r="D24" s="85">
        <f>$A$24*D$23-$F$6</f>
        <v>-29.865499999999997</v>
      </c>
      <c r="E24" s="85">
        <f>$A$24*E$23-$F$6</f>
        <v>-3.6154999999999404</v>
      </c>
      <c r="F24" s="85">
        <f>$A$24*F$23-$F$6</f>
        <v>35.759500000000003</v>
      </c>
      <c r="H24" s="90">
        <f>Irrigated!H24</f>
        <v>301</v>
      </c>
      <c r="I24" s="85">
        <f>$H$24*I$23/2000-$C$6</f>
        <v>-88.02517499999999</v>
      </c>
      <c r="J24" s="85">
        <f>$H$24*J$23/2000-$C$6</f>
        <v>18.077324999999973</v>
      </c>
      <c r="K24" s="85">
        <f>$H$24*K$23/2000-$C$6</f>
        <v>88.812324999999987</v>
      </c>
      <c r="L24" s="85">
        <f>$H$24*L$23/2000-$C$6</f>
        <v>159.547325</v>
      </c>
      <c r="M24" s="85">
        <f>$H$24*M$23/2000-$C$6</f>
        <v>265.64982499999996</v>
      </c>
    </row>
    <row r="25" spans="1:13" x14ac:dyDescent="0.2">
      <c r="A25" s="86">
        <f>Irrigated!A25</f>
        <v>3.1875</v>
      </c>
      <c r="B25" s="87">
        <f>$A$25*B$23-$F$6</f>
        <v>-53.302999999999997</v>
      </c>
      <c r="C25" s="87">
        <f>$A$25*C$23-$F$6</f>
        <v>-5.4904999999999973</v>
      </c>
      <c r="D25" s="87">
        <f>$A$25*D$23-$F$6</f>
        <v>26.384500000000003</v>
      </c>
      <c r="E25" s="87">
        <f>$A$25*E$23-$F$6</f>
        <v>58.25950000000006</v>
      </c>
      <c r="F25" s="87">
        <f>$A$25*F$23-$F$6</f>
        <v>106.072</v>
      </c>
      <c r="H25" s="91">
        <f>Irrigated!H25</f>
        <v>365.5</v>
      </c>
      <c r="I25" s="87">
        <f>$H$25*I$23/2000-$C$6</f>
        <v>25.656074999999987</v>
      </c>
      <c r="J25" s="87">
        <f>$H$25*J$23/2000-$C$6</f>
        <v>154.49482499999999</v>
      </c>
      <c r="K25" s="87">
        <f>$H$25*K$23/2000-$C$6</f>
        <v>240.38732499999992</v>
      </c>
      <c r="L25" s="87">
        <f>$H$25*L$23/2000-$C$6</f>
        <v>326.27982499999996</v>
      </c>
      <c r="M25" s="87">
        <f>$H$25*M$23/2000-$C$6</f>
        <v>455.11857499999996</v>
      </c>
    </row>
    <row r="26" spans="1:13" x14ac:dyDescent="0.2">
      <c r="A26" s="86">
        <f>Irrigated!A26</f>
        <v>3.75</v>
      </c>
      <c r="B26" s="87">
        <f>$A$26*B$23-$F$6</f>
        <v>-11.115499999999997</v>
      </c>
      <c r="C26" s="87">
        <f>$A$26*C$23-$F$6</f>
        <v>45.134500000000003</v>
      </c>
      <c r="D26" s="87">
        <f>$A$26*D$23-$F$6</f>
        <v>82.634500000000003</v>
      </c>
      <c r="E26" s="87">
        <f>$A$26*E$23-$F$6</f>
        <v>120.13450000000006</v>
      </c>
      <c r="F26" s="87">
        <f>$A$26*F$23-$F$6</f>
        <v>176.3845</v>
      </c>
      <c r="H26" s="91">
        <f>Irrigated!H26</f>
        <v>430</v>
      </c>
      <c r="I26" s="87">
        <f>$H$26*I$23/2000-$C$6</f>
        <v>139.33732499999996</v>
      </c>
      <c r="J26" s="87">
        <f>$H$26*J$23/2000-$C$6</f>
        <v>290.91232500000001</v>
      </c>
      <c r="K26" s="87">
        <f>$H$26*K$23/2000-$C$6</f>
        <v>391.96232499999996</v>
      </c>
      <c r="L26" s="87">
        <f>$H$26*L$23/2000-$C$6</f>
        <v>493.01232499999992</v>
      </c>
      <c r="M26" s="87">
        <f>$H$26*M$23/2000-$C$6</f>
        <v>644.58732499999996</v>
      </c>
    </row>
    <row r="27" spans="1:13" x14ac:dyDescent="0.2">
      <c r="A27" s="86">
        <f>Irrigated!A27</f>
        <v>4.3125</v>
      </c>
      <c r="B27" s="87">
        <f>$A$27*B$23-$F$6</f>
        <v>31.072000000000003</v>
      </c>
      <c r="C27" s="87">
        <f>$A$27*C$23-$F$6</f>
        <v>95.759500000000003</v>
      </c>
      <c r="D27" s="87">
        <f>$A$27*D$23-$F$6</f>
        <v>138.8845</v>
      </c>
      <c r="E27" s="87">
        <f>$A$27*E$23-$F$6</f>
        <v>182.00950000000006</v>
      </c>
      <c r="F27" s="87">
        <f>$A$27*F$23-$F$6</f>
        <v>246.697</v>
      </c>
      <c r="H27" s="91">
        <f>Irrigated!H27</f>
        <v>494.49999999999994</v>
      </c>
      <c r="I27" s="87">
        <f>$H$27*I$23/2000-$C$6</f>
        <v>253.01857499999983</v>
      </c>
      <c r="J27" s="87">
        <f>$H$27*J$23/2000-$C$6</f>
        <v>427.3298249999998</v>
      </c>
      <c r="K27" s="87">
        <f>$H$27*K$23/2000-$C$6</f>
        <v>543.53732499999978</v>
      </c>
      <c r="L27" s="87">
        <f>$H$27*L$23/2000-$C$6</f>
        <v>659.74482499999976</v>
      </c>
      <c r="M27" s="87">
        <f>$H$27*M$23/2000-$C$6</f>
        <v>834.05607499999974</v>
      </c>
    </row>
    <row r="28" spans="1:13" x14ac:dyDescent="0.2">
      <c r="A28" s="88">
        <f>Irrigated!A28</f>
        <v>4.875</v>
      </c>
      <c r="B28" s="89">
        <f>$A$28*B$23-$F$6</f>
        <v>73.259500000000003</v>
      </c>
      <c r="C28" s="89">
        <f>$A$28*C$23-$F$6</f>
        <v>146.3845</v>
      </c>
      <c r="D28" s="89">
        <f>$A$28*D$23-$F$6</f>
        <v>195.1345</v>
      </c>
      <c r="E28" s="89">
        <f>$A$28*E$23-$F$6</f>
        <v>243.88450000000012</v>
      </c>
      <c r="F28" s="89">
        <f>$A$28*F$23-$F$6</f>
        <v>317.0095</v>
      </c>
      <c r="H28" s="92">
        <f>Irrigated!H28</f>
        <v>559</v>
      </c>
      <c r="I28" s="89">
        <f>$H$28*I$23/2000-$C$6</f>
        <v>366.69982499999992</v>
      </c>
      <c r="J28" s="89">
        <f>$H$28*J$23/2000-$C$6</f>
        <v>563.74732500000005</v>
      </c>
      <c r="K28" s="89">
        <f>$H$28*K$23/2000-$C$6</f>
        <v>695.11232500000006</v>
      </c>
      <c r="L28" s="89">
        <f>$H$28*L$23/2000-$C$6</f>
        <v>826.47732500000006</v>
      </c>
      <c r="M28" s="89">
        <f>$H$28*M$23/2000-$C$6</f>
        <v>1023.524825</v>
      </c>
    </row>
    <row r="30" spans="1:13" x14ac:dyDescent="0.2">
      <c r="A30" s="458" t="s">
        <v>58</v>
      </c>
      <c r="B30" s="458"/>
      <c r="C30" s="458"/>
      <c r="D30" s="458"/>
      <c r="E30" s="458"/>
      <c r="F30" s="458"/>
    </row>
    <row r="31" spans="1:13" s="62" customFormat="1" ht="12" x14ac:dyDescent="0.2">
      <c r="A31" s="457" t="s">
        <v>36</v>
      </c>
      <c r="B31" s="457"/>
      <c r="C31" s="457"/>
      <c r="D31" s="457"/>
      <c r="E31" s="457"/>
      <c r="F31" s="457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</row>
    <row r="33" spans="1:6" x14ac:dyDescent="0.2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</row>
    <row r="34" spans="1:6" x14ac:dyDescent="0.2">
      <c r="A34" s="84">
        <f>Irrigated!A34</f>
        <v>6.6499999999999995</v>
      </c>
      <c r="B34" s="85">
        <f>$A$34*B$33-$E$6</f>
        <v>48.305851650000022</v>
      </c>
      <c r="C34" s="85">
        <f>$A$34*C$33-$E$6</f>
        <v>108.15585164999999</v>
      </c>
      <c r="D34" s="85">
        <f>$A$34*D$33-$E$6</f>
        <v>148.05585164999997</v>
      </c>
      <c r="E34" s="85">
        <f>$A$34*E$33-$E$6</f>
        <v>187.95585165</v>
      </c>
      <c r="F34" s="85">
        <f>$A$34*F$33-$E$6</f>
        <v>247.80585164999997</v>
      </c>
    </row>
    <row r="35" spans="1:6" x14ac:dyDescent="0.2">
      <c r="A35" s="86">
        <f>Irrigated!A35</f>
        <v>8.0749999999999993</v>
      </c>
      <c r="B35" s="87">
        <f>$A$35*B$33-$E$6</f>
        <v>112.43085164999997</v>
      </c>
      <c r="C35" s="87">
        <f>$A$35*C$33-$E$6</f>
        <v>185.10585164999998</v>
      </c>
      <c r="D35" s="87">
        <f>$A$35*D$33-$E$6</f>
        <v>233.55585164999997</v>
      </c>
      <c r="E35" s="87">
        <f>$A$35*E$33-$E$6</f>
        <v>282.00585164999995</v>
      </c>
      <c r="F35" s="87">
        <f>$A$35*F$33-$E$6</f>
        <v>354.68085165000002</v>
      </c>
    </row>
    <row r="36" spans="1:6" x14ac:dyDescent="0.2">
      <c r="A36" s="86">
        <f>Irrigated!A36</f>
        <v>9.5</v>
      </c>
      <c r="B36" s="87">
        <f>$A$36*B$33-$E$6</f>
        <v>176.55585165000002</v>
      </c>
      <c r="C36" s="87">
        <f>$A$36*C$33-$E$6</f>
        <v>262.05585165000002</v>
      </c>
      <c r="D36" s="87">
        <f>$A$36*D$33-$E$6</f>
        <v>319.05585165000002</v>
      </c>
      <c r="E36" s="87">
        <f>$A$36*E$33-$E$6</f>
        <v>376.05585165000002</v>
      </c>
      <c r="F36" s="87">
        <f>$A$36*F$33-$E$6</f>
        <v>461.55585165000002</v>
      </c>
    </row>
    <row r="37" spans="1:6" x14ac:dyDescent="0.2">
      <c r="A37" s="86">
        <f>Irrigated!A37</f>
        <v>10.924999999999999</v>
      </c>
      <c r="B37" s="87">
        <f>$A$37*B$33-$E$6</f>
        <v>240.68085164999997</v>
      </c>
      <c r="C37" s="87">
        <f>$A$37*C$33-$E$6</f>
        <v>339.00585164999995</v>
      </c>
      <c r="D37" s="87">
        <f>$A$37*D$33-$E$6</f>
        <v>404.55585164999991</v>
      </c>
      <c r="E37" s="87">
        <f>$A$37*E$33-$E$6</f>
        <v>470.10585164999998</v>
      </c>
      <c r="F37" s="87">
        <f>$A$37*F$33-$E$6</f>
        <v>568.43085164999991</v>
      </c>
    </row>
    <row r="38" spans="1:6" x14ac:dyDescent="0.2">
      <c r="A38" s="88">
        <f>Irrigated!A38</f>
        <v>12.35</v>
      </c>
      <c r="B38" s="89">
        <f>$A$38*B$33-$E$6</f>
        <v>304.80585165000002</v>
      </c>
      <c r="C38" s="89">
        <f>$A$38*C$33-$E$6</f>
        <v>415.95585165</v>
      </c>
      <c r="D38" s="89">
        <f>$A$38*D$33-$E$6</f>
        <v>490.05585165000002</v>
      </c>
      <c r="E38" s="89">
        <f>$A$38*E$33-$E$6</f>
        <v>564.15585165000005</v>
      </c>
      <c r="F38" s="89">
        <f>$A$38*F$33-$E$6</f>
        <v>675.30585165000002</v>
      </c>
    </row>
    <row r="39" spans="1:6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3">
    <mergeCell ref="A31:F31"/>
    <mergeCell ref="A20:F20"/>
    <mergeCell ref="A21:F21"/>
    <mergeCell ref="H21:M21"/>
    <mergeCell ref="A30:F30"/>
    <mergeCell ref="H20:M20"/>
    <mergeCell ref="B1:F1"/>
    <mergeCell ref="A7:M7"/>
    <mergeCell ref="A10:F10"/>
    <mergeCell ref="A11:F11"/>
    <mergeCell ref="H11:M11"/>
    <mergeCell ref="A9:M9"/>
    <mergeCell ref="H10:M10"/>
  </mergeCells>
  <phoneticPr fontId="2" type="noConversion"/>
  <conditionalFormatting sqref="B34:F38 I24:M28 I14:M18 B14:F18 B24:F28">
    <cfRule type="cellIs" dxfId="1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59"/>
  <sheetViews>
    <sheetView topLeftCell="A7" workbookViewId="0">
      <selection sqref="A1:I1"/>
    </sheetView>
  </sheetViews>
  <sheetFormatPr defaultColWidth="9.7109375" defaultRowHeight="12.75" x14ac:dyDescent="0.2"/>
  <cols>
    <col min="1" max="13" width="9.28515625" style="75" customWidth="1"/>
    <col min="14" max="16384" width="9.7109375" style="75"/>
  </cols>
  <sheetData>
    <row r="1" spans="1:13" s="62" customFormat="1" ht="12" hidden="1" x14ac:dyDescent="0.2">
      <c r="B1" s="466" t="s">
        <v>46</v>
      </c>
      <c r="C1" s="466"/>
      <c r="D1" s="466"/>
      <c r="E1" s="466"/>
      <c r="F1" s="466"/>
      <c r="G1" s="93"/>
    </row>
    <row r="2" spans="1:13" s="62" customFormat="1" ht="12" hidden="1" x14ac:dyDescent="0.2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</row>
    <row r="3" spans="1:13" s="62" customFormat="1" ht="12" hidden="1" x14ac:dyDescent="0.2">
      <c r="A3" s="63" t="s">
        <v>41</v>
      </c>
      <c r="B3" s="65">
        <f>'Strip-Till'!L7</f>
        <v>750</v>
      </c>
      <c r="C3" s="65">
        <f>'Strip-Till'!N7</f>
        <v>3400</v>
      </c>
      <c r="D3" s="65">
        <f>'Strip-Till'!P7</f>
        <v>85</v>
      </c>
      <c r="E3" s="65">
        <f>'Strip-Till'!R7</f>
        <v>30</v>
      </c>
      <c r="F3" s="65">
        <f>'Strip-Till'!T7</f>
        <v>65</v>
      </c>
    </row>
    <row r="4" spans="1:13" s="62" customFormat="1" ht="12" hidden="1" x14ac:dyDescent="0.2">
      <c r="A4" s="62" t="s">
        <v>42</v>
      </c>
      <c r="B4" s="67">
        <f>'Strip-Till'!L8</f>
        <v>0.7</v>
      </c>
      <c r="C4" s="68">
        <f>'Strip-Till'!N8</f>
        <v>430</v>
      </c>
      <c r="D4" s="69">
        <f>'Strip-Till'!P8</f>
        <v>4.1500000000000004</v>
      </c>
      <c r="E4" s="69">
        <f>'Strip-Till'!R8</f>
        <v>9.5</v>
      </c>
      <c r="F4" s="69">
        <f>'Strip-Till'!T8</f>
        <v>3.75</v>
      </c>
    </row>
    <row r="5" spans="1:13" s="62" customFormat="1" ht="12" hidden="1" x14ac:dyDescent="0.2">
      <c r="A5" s="70" t="s">
        <v>44</v>
      </c>
      <c r="B5" s="71">
        <f>B3*B4</f>
        <v>525</v>
      </c>
      <c r="C5" s="71">
        <f>C3*C4/2000</f>
        <v>731</v>
      </c>
      <c r="D5" s="71">
        <f>D3*D4</f>
        <v>352.75000000000006</v>
      </c>
      <c r="E5" s="71">
        <f>E3*E4</f>
        <v>285</v>
      </c>
      <c r="F5" s="71">
        <f>F3*F4</f>
        <v>243.75</v>
      </c>
    </row>
    <row r="6" spans="1:13" s="62" customFormat="1" ht="12" hidden="1" x14ac:dyDescent="0.2">
      <c r="A6" s="70" t="s">
        <v>43</v>
      </c>
      <c r="B6" s="73">
        <f>'Strip-Till'!L31</f>
        <v>413.92419982954539</v>
      </c>
      <c r="C6" s="73">
        <f>'Strip-Till'!N31</f>
        <v>526.41575</v>
      </c>
      <c r="D6" s="73">
        <f>'Strip-Till'!P31</f>
        <v>286.99387044999997</v>
      </c>
      <c r="E6" s="73">
        <f>'Strip-Till'!R31</f>
        <v>197.878511425</v>
      </c>
      <c r="F6" s="73">
        <f>'Strip-Till'!T31</f>
        <v>198.70195362499999</v>
      </c>
    </row>
    <row r="7" spans="1:13" s="62" customFormat="1" ht="15.75" x14ac:dyDescent="0.25">
      <c r="A7" s="465" t="s">
        <v>130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64" t="s">
        <v>153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</row>
    <row r="10" spans="1:13" x14ac:dyDescent="0.2">
      <c r="A10" s="458" t="s">
        <v>59</v>
      </c>
      <c r="B10" s="458"/>
      <c r="C10" s="458"/>
      <c r="D10" s="458"/>
      <c r="E10" s="458"/>
      <c r="F10" s="458"/>
      <c r="H10" s="458" t="s">
        <v>62</v>
      </c>
      <c r="I10" s="458"/>
      <c r="J10" s="458"/>
      <c r="K10" s="458"/>
      <c r="L10" s="458"/>
      <c r="M10" s="458"/>
    </row>
    <row r="11" spans="1:13" s="62" customFormat="1" ht="12" x14ac:dyDescent="0.2">
      <c r="A11" s="457" t="s">
        <v>36</v>
      </c>
      <c r="B11" s="457"/>
      <c r="C11" s="457"/>
      <c r="D11" s="457"/>
      <c r="E11" s="457"/>
      <c r="F11" s="457"/>
      <c r="H11" s="461" t="s">
        <v>36</v>
      </c>
      <c r="I11" s="461"/>
      <c r="J11" s="461"/>
      <c r="K11" s="461"/>
      <c r="L11" s="461"/>
      <c r="M11" s="461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2">
      <c r="A14" s="84">
        <f>Irrigated!A14</f>
        <v>2.9050000000000002</v>
      </c>
      <c r="B14" s="85">
        <f>$A$14*B$13-$D$6</f>
        <v>-101.80012044999995</v>
      </c>
      <c r="C14" s="85">
        <f>$A$14*C$13-$D$6</f>
        <v>-64.761370449999959</v>
      </c>
      <c r="D14" s="85">
        <f>$A$14*D$13-$D$6</f>
        <v>-40.068870449999963</v>
      </c>
      <c r="E14" s="85">
        <f>$A$14*E$13-$D$6</f>
        <v>-15.376370449999911</v>
      </c>
      <c r="F14" s="85">
        <f>$A$14*F$13-$D$6</f>
        <v>21.662379550000026</v>
      </c>
      <c r="H14" s="84">
        <f>Irrigated!H14</f>
        <v>0.48999999999999994</v>
      </c>
      <c r="I14" s="85">
        <f>$H$14*I$13-$B$6</f>
        <v>-138.29919982954544</v>
      </c>
      <c r="J14" s="85">
        <f>$H$14*J$13-$B$6</f>
        <v>-83.174199829545444</v>
      </c>
      <c r="K14" s="85">
        <f>$H$14*K$13-$B$6</f>
        <v>-46.424199829545444</v>
      </c>
      <c r="L14" s="85">
        <f>$H$14*L$13-$B$6</f>
        <v>-9.6741998295453868</v>
      </c>
      <c r="M14" s="85">
        <f>$H$14*M$13-$B$6</f>
        <v>45.450800170454556</v>
      </c>
    </row>
    <row r="15" spans="1:13" x14ac:dyDescent="0.2">
      <c r="A15" s="86">
        <f>Irrigated!A15</f>
        <v>3.5275000000000003</v>
      </c>
      <c r="B15" s="87">
        <f>$A$15*B$13-$D$6</f>
        <v>-62.115745449999963</v>
      </c>
      <c r="C15" s="87">
        <f>$A$15*C$13-$D$6</f>
        <v>-17.140120449999927</v>
      </c>
      <c r="D15" s="87">
        <f>$A$15*D$13-$D$6</f>
        <v>12.84362955000006</v>
      </c>
      <c r="E15" s="87">
        <f>$A$15*E$13-$D$6</f>
        <v>42.827379550000103</v>
      </c>
      <c r="F15" s="87">
        <f>$A$15*F$13-$D$6</f>
        <v>87.803004550000082</v>
      </c>
      <c r="H15" s="86">
        <f>Irrigated!H15</f>
        <v>0.59499999999999997</v>
      </c>
      <c r="I15" s="87">
        <f>$H$15*I$13-$B$6</f>
        <v>-79.236699829545387</v>
      </c>
      <c r="J15" s="87">
        <f>$H$15*J$13-$B$6</f>
        <v>-12.299199829545387</v>
      </c>
      <c r="K15" s="87">
        <f>$H$15*K$13-$B$6</f>
        <v>32.325800170454613</v>
      </c>
      <c r="L15" s="87">
        <f>$H$15*L$13-$B$6</f>
        <v>76.95080017045467</v>
      </c>
      <c r="M15" s="87">
        <f>$H$15*M$13-$B$6</f>
        <v>143.88830017045461</v>
      </c>
    </row>
    <row r="16" spans="1:13" x14ac:dyDescent="0.2">
      <c r="A16" s="86">
        <f>Irrigated!A16</f>
        <v>4.1500000000000004</v>
      </c>
      <c r="B16" s="87">
        <f>$A$16*B$13-$D$6</f>
        <v>-22.431370449999974</v>
      </c>
      <c r="C16" s="87">
        <f>$A$16*C$13-$D$6</f>
        <v>30.481129550000048</v>
      </c>
      <c r="D16" s="87">
        <f>$A$16*D$13-$D$6</f>
        <v>65.756129550000082</v>
      </c>
      <c r="E16" s="87">
        <f>$A$16*E$13-$D$6</f>
        <v>101.03112955000012</v>
      </c>
      <c r="F16" s="87">
        <f>$A$16*F$13-$D$6</f>
        <v>153.94362955000008</v>
      </c>
      <c r="H16" s="86">
        <f>Irrigated!H16</f>
        <v>0.7</v>
      </c>
      <c r="I16" s="87">
        <f>$H$16*I$13-$B$6</f>
        <v>-20.174199829545387</v>
      </c>
      <c r="J16" s="87">
        <f>$H$16*J$13-$B$6</f>
        <v>58.575800170454556</v>
      </c>
      <c r="K16" s="87">
        <f>$H$16*K$13-$B$6</f>
        <v>111.07580017045461</v>
      </c>
      <c r="L16" s="87">
        <f>$H$16*L$13-$B$6</f>
        <v>163.57580017045461</v>
      </c>
      <c r="M16" s="87">
        <f>$H$16*M$13-$B$6</f>
        <v>242.32580017045461</v>
      </c>
    </row>
    <row r="17" spans="1:13" x14ac:dyDescent="0.2">
      <c r="A17" s="86">
        <f>Irrigated!A17</f>
        <v>4.7725</v>
      </c>
      <c r="B17" s="87">
        <f>$A$17*B$13-$D$6</f>
        <v>17.253004550000014</v>
      </c>
      <c r="C17" s="87">
        <f>$A$17*C$13-$D$6</f>
        <v>78.102379550000023</v>
      </c>
      <c r="D17" s="87">
        <f>$A$17*D$13-$D$6</f>
        <v>118.66862955000005</v>
      </c>
      <c r="E17" s="87">
        <f>$A$17*E$13-$D$6</f>
        <v>159.23487955000007</v>
      </c>
      <c r="F17" s="87">
        <f>$A$17*F$13-$D$6</f>
        <v>220.08425455000003</v>
      </c>
      <c r="H17" s="86">
        <f>Irrigated!H17</f>
        <v>0.80499999999999994</v>
      </c>
      <c r="I17" s="87">
        <f>$H$17*I$13-$B$6</f>
        <v>38.888300170454556</v>
      </c>
      <c r="J17" s="87">
        <f>$H$17*J$13-$B$6</f>
        <v>129.45080017045461</v>
      </c>
      <c r="K17" s="87">
        <f>$H$17*K$13-$B$6</f>
        <v>189.82580017045461</v>
      </c>
      <c r="L17" s="87">
        <f>$H$17*L$13-$B$6</f>
        <v>250.20080017045461</v>
      </c>
      <c r="M17" s="87">
        <f>$H$17*M$13-$B$6</f>
        <v>340.7633001704545</v>
      </c>
    </row>
    <row r="18" spans="1:13" x14ac:dyDescent="0.2">
      <c r="A18" s="88">
        <f>Irrigated!A18</f>
        <v>5.3950000000000005</v>
      </c>
      <c r="B18" s="89">
        <f>$A$18*B$13-$D$6</f>
        <v>56.93737955000006</v>
      </c>
      <c r="C18" s="89">
        <f>$A$18*C$13-$D$6</f>
        <v>125.72362955000006</v>
      </c>
      <c r="D18" s="89">
        <f>$A$18*D$13-$D$6</f>
        <v>171.58112955000007</v>
      </c>
      <c r="E18" s="89">
        <f>$A$18*E$13-$D$6</f>
        <v>217.43862955000014</v>
      </c>
      <c r="F18" s="89">
        <f>$A$18*F$13-$D$6</f>
        <v>286.22487955000003</v>
      </c>
      <c r="H18" s="88">
        <f>Irrigated!H18</f>
        <v>0.90999999999999992</v>
      </c>
      <c r="I18" s="89">
        <f>$H$18*I$13-$B$6</f>
        <v>97.950800170454556</v>
      </c>
      <c r="J18" s="89">
        <f>$H$18*J$13-$B$6</f>
        <v>200.32580017045461</v>
      </c>
      <c r="K18" s="89">
        <f>$H$18*K$13-$B$6</f>
        <v>268.5758001704545</v>
      </c>
      <c r="L18" s="89">
        <f>$H$18*L$13-$B$6</f>
        <v>336.82580017045461</v>
      </c>
      <c r="M18" s="89">
        <f>$H$18*M$13-$B$6</f>
        <v>439.2008001704545</v>
      </c>
    </row>
    <row r="20" spans="1:13" x14ac:dyDescent="0.2">
      <c r="A20" s="458" t="s">
        <v>60</v>
      </c>
      <c r="B20" s="458"/>
      <c r="C20" s="458"/>
      <c r="D20" s="458"/>
      <c r="E20" s="458"/>
      <c r="F20" s="458"/>
      <c r="H20" s="459" t="s">
        <v>123</v>
      </c>
      <c r="I20" s="459"/>
      <c r="J20" s="459"/>
      <c r="K20" s="459"/>
      <c r="L20" s="459"/>
      <c r="M20" s="459"/>
    </row>
    <row r="21" spans="1:13" s="62" customFormat="1" ht="12" x14ac:dyDescent="0.2">
      <c r="A21" s="457" t="s">
        <v>36</v>
      </c>
      <c r="B21" s="457"/>
      <c r="C21" s="457"/>
      <c r="D21" s="457"/>
      <c r="E21" s="457"/>
      <c r="F21" s="457"/>
      <c r="H21" s="460" t="s">
        <v>36</v>
      </c>
      <c r="I21" s="460"/>
      <c r="J21" s="460"/>
      <c r="K21" s="460"/>
      <c r="L21" s="460"/>
      <c r="M21" s="460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2">
      <c r="A24" s="84">
        <f>Irrigated!A24</f>
        <v>2.625</v>
      </c>
      <c r="B24" s="85">
        <f>$A$24*B$23-$F$6</f>
        <v>-70.733203624999987</v>
      </c>
      <c r="C24" s="85">
        <f>$A$24*C$23-$F$6</f>
        <v>-45.139453624999987</v>
      </c>
      <c r="D24" s="85">
        <f>$A$24*D$23-$F$6</f>
        <v>-28.076953624999987</v>
      </c>
      <c r="E24" s="85">
        <f>$A$24*E$23-$F$6</f>
        <v>-11.014453624999987</v>
      </c>
      <c r="F24" s="85">
        <f>$A$24*F$23-$F$6</f>
        <v>14.579296375000013</v>
      </c>
      <c r="H24" s="90">
        <f>Irrigated!H24</f>
        <v>301</v>
      </c>
      <c r="I24" s="85">
        <f>$H$24*I$23/2000-$C$6</f>
        <v>-142.64075000000003</v>
      </c>
      <c r="J24" s="85">
        <f>$H$24*J$23/2000-$C$6</f>
        <v>-65.88575000000003</v>
      </c>
      <c r="K24" s="85">
        <f>$H$24*K$23/2000-$C$6</f>
        <v>-14.715750000000014</v>
      </c>
      <c r="L24" s="85">
        <f>$H$24*L$23/2000-$C$6</f>
        <v>36.454250000000116</v>
      </c>
      <c r="M24" s="85">
        <f>$H$24*M$23/2000-$C$6</f>
        <v>113.20925</v>
      </c>
    </row>
    <row r="25" spans="1:13" x14ac:dyDescent="0.2">
      <c r="A25" s="86">
        <f>Irrigated!A25</f>
        <v>3.1875</v>
      </c>
      <c r="B25" s="87">
        <f>$A$25*B$23-$F$6</f>
        <v>-43.311328624999987</v>
      </c>
      <c r="C25" s="87">
        <f>$A$25*C$23-$F$6</f>
        <v>-12.233203624999987</v>
      </c>
      <c r="D25" s="87">
        <f>$A$25*D$23-$F$6</f>
        <v>8.4855463750000126</v>
      </c>
      <c r="E25" s="87">
        <f>$A$25*E$23-$F$6</f>
        <v>29.204296375000013</v>
      </c>
      <c r="F25" s="87">
        <f>$A$25*F$23-$F$6</f>
        <v>60.282421375000013</v>
      </c>
      <c r="H25" s="91">
        <f>Irrigated!H25</f>
        <v>365.5</v>
      </c>
      <c r="I25" s="87">
        <f>$H$25*I$23/2000-$C$6</f>
        <v>-60.403250000000014</v>
      </c>
      <c r="J25" s="87">
        <f>$H$25*J$23/2000-$C$6</f>
        <v>32.799250000000029</v>
      </c>
      <c r="K25" s="87">
        <f>$H$25*K$23/2000-$C$6</f>
        <v>94.93425000000002</v>
      </c>
      <c r="L25" s="87">
        <f>$H$25*L$23/2000-$C$6</f>
        <v>157.06925000000012</v>
      </c>
      <c r="M25" s="87">
        <f>$H$25*M$23/2000-$C$6</f>
        <v>250.27175</v>
      </c>
    </row>
    <row r="26" spans="1:13" x14ac:dyDescent="0.2">
      <c r="A26" s="86">
        <f>Irrigated!A26</f>
        <v>3.75</v>
      </c>
      <c r="B26" s="87">
        <f>$A$26*B$23-$F$6</f>
        <v>-15.889453624999987</v>
      </c>
      <c r="C26" s="87">
        <f>$A$26*C$23-$F$6</f>
        <v>20.673046375000013</v>
      </c>
      <c r="D26" s="87">
        <f>$A$26*D$23-$F$6</f>
        <v>45.048046375000013</v>
      </c>
      <c r="E26" s="87">
        <f>$A$26*E$23-$F$6</f>
        <v>69.423046375000013</v>
      </c>
      <c r="F26" s="87">
        <f>$A$26*F$23-$F$6</f>
        <v>105.98554637500001</v>
      </c>
      <c r="H26" s="91">
        <f>Irrigated!H26</f>
        <v>430</v>
      </c>
      <c r="I26" s="87">
        <f>$H$26*I$23/2000-$C$6</f>
        <v>21.834249999999997</v>
      </c>
      <c r="J26" s="87">
        <f>$H$26*J$23/2000-$C$6</f>
        <v>131.48424999999997</v>
      </c>
      <c r="K26" s="87">
        <f>$H$26*K$23/2000-$C$6</f>
        <v>204.58425</v>
      </c>
      <c r="L26" s="87">
        <f>$H$26*L$23/2000-$C$6</f>
        <v>277.68425000000013</v>
      </c>
      <c r="M26" s="87">
        <f>$H$26*M$23/2000-$C$6</f>
        <v>387.33425</v>
      </c>
    </row>
    <row r="27" spans="1:13" x14ac:dyDescent="0.2">
      <c r="A27" s="86">
        <f>Irrigated!A27</f>
        <v>4.3125</v>
      </c>
      <c r="B27" s="87">
        <f>$A$27*B$23-$F$6</f>
        <v>11.532421375000013</v>
      </c>
      <c r="C27" s="87">
        <f>$A$27*C$23-$F$6</f>
        <v>53.579296375000013</v>
      </c>
      <c r="D27" s="87">
        <f>$A$27*D$23-$F$6</f>
        <v>81.610546375000013</v>
      </c>
      <c r="E27" s="87">
        <f>$A$27*E$23-$F$6</f>
        <v>109.64179637500001</v>
      </c>
      <c r="F27" s="87">
        <f>$A$27*F$23-$F$6</f>
        <v>151.68867137500001</v>
      </c>
      <c r="H27" s="91">
        <f>Irrigated!H27</f>
        <v>494.49999999999994</v>
      </c>
      <c r="I27" s="87">
        <f>$H$27*I$23/2000-$C$6</f>
        <v>104.07174999999984</v>
      </c>
      <c r="J27" s="87">
        <f>$H$27*J$23/2000-$C$6</f>
        <v>230.16924999999992</v>
      </c>
      <c r="K27" s="87">
        <f>$H$27*K$23/2000-$C$6</f>
        <v>314.23424999999986</v>
      </c>
      <c r="L27" s="87">
        <f>$H$27*L$23/2000-$C$6</f>
        <v>398.29925000000003</v>
      </c>
      <c r="M27" s="87">
        <f>$H$27*M$23/2000-$C$6</f>
        <v>524.39674999999977</v>
      </c>
    </row>
    <row r="28" spans="1:13" x14ac:dyDescent="0.2">
      <c r="A28" s="88">
        <f>Irrigated!A28</f>
        <v>4.875</v>
      </c>
      <c r="B28" s="89">
        <f>$A$28*B$23-$F$6</f>
        <v>38.954296375000013</v>
      </c>
      <c r="C28" s="89">
        <f>$A$28*C$23-$F$6</f>
        <v>86.485546375000013</v>
      </c>
      <c r="D28" s="89">
        <f>$A$28*D$23-$F$6</f>
        <v>118.17304637500001</v>
      </c>
      <c r="E28" s="89">
        <f>$A$28*E$23-$F$6</f>
        <v>149.86054637500001</v>
      </c>
      <c r="F28" s="89">
        <f>$A$28*F$23-$F$6</f>
        <v>197.39179637500001</v>
      </c>
      <c r="H28" s="92">
        <f>Irrigated!H28</f>
        <v>559</v>
      </c>
      <c r="I28" s="89">
        <f>$H$28*I$23/2000-$C$6</f>
        <v>186.30925000000002</v>
      </c>
      <c r="J28" s="89">
        <f>$H$28*J$23/2000-$C$6</f>
        <v>328.85424999999998</v>
      </c>
      <c r="K28" s="89">
        <f>$H$28*K$23/2000-$C$6</f>
        <v>423.88424999999995</v>
      </c>
      <c r="L28" s="89">
        <f>$H$28*L$23/2000-$C$6</f>
        <v>518.91425000000015</v>
      </c>
      <c r="M28" s="89">
        <f>$H$28*M$23/2000-$C$6</f>
        <v>661.45925</v>
      </c>
    </row>
    <row r="30" spans="1:13" x14ac:dyDescent="0.2">
      <c r="A30" s="458" t="s">
        <v>61</v>
      </c>
      <c r="B30" s="458"/>
      <c r="C30" s="458"/>
      <c r="D30" s="458"/>
      <c r="E30" s="458"/>
      <c r="F30" s="458"/>
    </row>
    <row r="31" spans="1:13" s="62" customFormat="1" ht="12" x14ac:dyDescent="0.2">
      <c r="A31" s="457" t="s">
        <v>36</v>
      </c>
      <c r="B31" s="457"/>
      <c r="C31" s="457"/>
      <c r="D31" s="457"/>
      <c r="E31" s="457"/>
      <c r="F31" s="457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I32" s="62"/>
    </row>
    <row r="33" spans="1:9" x14ac:dyDescent="0.2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I33" s="62"/>
    </row>
    <row r="34" spans="1:9" x14ac:dyDescent="0.2">
      <c r="A34" s="84">
        <f>Irrigated!A34</f>
        <v>6.6499999999999995</v>
      </c>
      <c r="B34" s="85">
        <f>$A$34*B$33-$E$6</f>
        <v>-48.253511424999999</v>
      </c>
      <c r="C34" s="85">
        <f>$A$34*C$33-$E$6</f>
        <v>-18.328511425000016</v>
      </c>
      <c r="D34" s="85">
        <f>$A$34*D$33-$E$6</f>
        <v>1.6214885749999723</v>
      </c>
      <c r="E34" s="85">
        <f>$A$34*E$33-$E$6</f>
        <v>21.571488574999989</v>
      </c>
      <c r="F34" s="85">
        <f>$A$34*F$33-$E$6</f>
        <v>51.496488574999972</v>
      </c>
      <c r="I34" s="62"/>
    </row>
    <row r="35" spans="1:9" x14ac:dyDescent="0.2">
      <c r="A35" s="86">
        <f>Irrigated!A35</f>
        <v>8.0749999999999993</v>
      </c>
      <c r="B35" s="87">
        <f>$A$35*B$33-$E$6</f>
        <v>-16.191011425000028</v>
      </c>
      <c r="C35" s="87">
        <f>$A$35*C$33-$E$6</f>
        <v>20.146488574999978</v>
      </c>
      <c r="D35" s="87">
        <f>$A$35*D$33-$E$6</f>
        <v>44.371488574999972</v>
      </c>
      <c r="E35" s="87">
        <f>$A$35*E$33-$E$6</f>
        <v>68.596488574999967</v>
      </c>
      <c r="F35" s="87">
        <f>$A$35*F$33-$E$6</f>
        <v>104.933988575</v>
      </c>
      <c r="I35" s="62"/>
    </row>
    <row r="36" spans="1:9" x14ac:dyDescent="0.2">
      <c r="A36" s="86">
        <f>Irrigated!A36</f>
        <v>9.5</v>
      </c>
      <c r="B36" s="87">
        <f>$A$36*B$33-$E$6</f>
        <v>15.871488575000001</v>
      </c>
      <c r="C36" s="87">
        <f>$A$36*C$33-$E$6</f>
        <v>58.621488575000001</v>
      </c>
      <c r="D36" s="87">
        <f>$A$36*D$33-$E$6</f>
        <v>87.121488575000001</v>
      </c>
      <c r="E36" s="87">
        <f>$A$36*E$33-$E$6</f>
        <v>115.621488575</v>
      </c>
      <c r="F36" s="87">
        <f>$A$36*F$33-$E$6</f>
        <v>158.371488575</v>
      </c>
      <c r="I36" s="62"/>
    </row>
    <row r="37" spans="1:9" x14ac:dyDescent="0.2">
      <c r="A37" s="86">
        <f>Irrigated!A37</f>
        <v>10.924999999999999</v>
      </c>
      <c r="B37" s="87">
        <f>$A$37*B$33-$E$6</f>
        <v>47.933988574999972</v>
      </c>
      <c r="C37" s="87">
        <f>$A$37*C$33-$E$6</f>
        <v>97.096488574999967</v>
      </c>
      <c r="D37" s="87">
        <f>$A$37*D$33-$E$6</f>
        <v>129.87148857499994</v>
      </c>
      <c r="E37" s="87">
        <f>$A$37*E$33-$E$6</f>
        <v>162.64648857499998</v>
      </c>
      <c r="F37" s="87">
        <f>$A$37*F$33-$E$6</f>
        <v>211.80898857499994</v>
      </c>
      <c r="I37" s="62"/>
    </row>
    <row r="38" spans="1:9" x14ac:dyDescent="0.2">
      <c r="A38" s="88">
        <f>Irrigated!A38</f>
        <v>12.35</v>
      </c>
      <c r="B38" s="89">
        <f>$A$38*B$33-$E$6</f>
        <v>79.996488575000001</v>
      </c>
      <c r="C38" s="89">
        <f>$A$38*C$33-$E$6</f>
        <v>135.57148857499999</v>
      </c>
      <c r="D38" s="89">
        <f>$A$38*D$33-$E$6</f>
        <v>172.621488575</v>
      </c>
      <c r="E38" s="89">
        <f>$A$38*E$33-$E$6</f>
        <v>209.67148857500001</v>
      </c>
      <c r="F38" s="89">
        <f>$A$38*F$33-$E$6</f>
        <v>265.246488575</v>
      </c>
      <c r="I38" s="62"/>
    </row>
    <row r="39" spans="1:9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3">
    <mergeCell ref="B1:F1"/>
    <mergeCell ref="A31:F31"/>
    <mergeCell ref="A20:F20"/>
    <mergeCell ref="A21:F21"/>
    <mergeCell ref="A7:M7"/>
    <mergeCell ref="H21:M21"/>
    <mergeCell ref="A10:F10"/>
    <mergeCell ref="A11:F11"/>
    <mergeCell ref="A30:F30"/>
    <mergeCell ref="H10:M10"/>
    <mergeCell ref="H11:M11"/>
    <mergeCell ref="A9:M9"/>
    <mergeCell ref="H20:M20"/>
  </mergeCells>
  <phoneticPr fontId="2" type="noConversion"/>
  <conditionalFormatting sqref="B14:F18 I14:M18 I24:M28 B24:F28 B34:F38">
    <cfRule type="cellIs" dxfId="0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99"/>
    <pageSetUpPr fitToPage="1"/>
  </sheetPr>
  <dimension ref="A1:BE422"/>
  <sheetViews>
    <sheetView tabSelected="1" zoomScale="170" zoomScaleNormal="170" zoomScaleSheetLayoutView="87" zoomScalePageLayoutView="170" workbookViewId="0">
      <pane xSplit="1" ySplit="9" topLeftCell="B26" activePane="bottomRight" state="frozen"/>
      <selection pane="topRight" activeCell="B1" sqref="B1"/>
      <selection pane="bottomLeft" activeCell="A10" sqref="A10"/>
      <selection pane="bottomRight"/>
    </sheetView>
  </sheetViews>
  <sheetFormatPr defaultColWidth="8.85546875" defaultRowHeight="12.75" x14ac:dyDescent="0.2"/>
  <cols>
    <col min="1" max="1" width="29.140625" style="96" customWidth="1"/>
    <col min="2" max="2" width="7.42578125" style="101" bestFit="1" customWidth="1"/>
    <col min="3" max="3" width="3" style="101" bestFit="1" customWidth="1"/>
    <col min="4" max="4" width="5.42578125" style="101" bestFit="1" customWidth="1"/>
    <col min="5" max="5" width="4" style="101" bestFit="1" customWidth="1"/>
    <col min="6" max="6" width="5.42578125" style="101" bestFit="1" customWidth="1"/>
    <col min="7" max="7" width="3.42578125" style="101" bestFit="1" customWidth="1"/>
    <col min="8" max="8" width="5.42578125" style="101" bestFit="1" customWidth="1"/>
    <col min="9" max="9" width="3.42578125" style="101" bestFit="1" customWidth="1"/>
    <col min="10" max="10" width="5.42578125" style="101" bestFit="1" customWidth="1"/>
    <col min="11" max="11" width="3.42578125" style="101" bestFit="1" customWidth="1"/>
    <col min="12" max="12" width="5.7109375" style="101" bestFit="1" customWidth="1"/>
    <col min="13" max="13" width="3.42578125" style="101" customWidth="1"/>
    <col min="14" max="14" width="5.42578125" style="101" bestFit="1" customWidth="1"/>
    <col min="15" max="15" width="3" style="101" bestFit="1" customWidth="1"/>
    <col min="16" max="16" width="5.42578125" style="101" bestFit="1" customWidth="1"/>
    <col min="17" max="17" width="4" style="101" bestFit="1" customWidth="1"/>
    <col min="18" max="18" width="5.42578125" style="101" bestFit="1" customWidth="1"/>
    <col min="19" max="19" width="3.42578125" style="101" bestFit="1" customWidth="1"/>
    <col min="20" max="20" width="5.42578125" style="101" bestFit="1" customWidth="1"/>
    <col min="21" max="21" width="3.42578125" style="101" bestFit="1" customWidth="1"/>
    <col min="22" max="22" width="5.42578125" style="101" bestFit="1" customWidth="1"/>
    <col min="23" max="23" width="3.42578125" style="101" bestFit="1" customWidth="1"/>
    <col min="24" max="24" width="5.42578125" style="101" bestFit="1" customWidth="1"/>
    <col min="25" max="25" width="3.42578125" style="101" customWidth="1"/>
    <col min="26" max="26" width="5.42578125" style="101" bestFit="1" customWidth="1"/>
    <col min="27" max="27" width="3.42578125" style="101" customWidth="1"/>
    <col min="28" max="28" width="5.42578125" style="101" bestFit="1" customWidth="1"/>
    <col min="29" max="29" width="6.42578125" style="101" bestFit="1" customWidth="1"/>
    <col min="30" max="30" width="8.85546875" style="101"/>
    <col min="31" max="57" width="8.85546875" style="100"/>
    <col min="58" max="16384" width="8.85546875" style="101"/>
  </cols>
  <sheetData>
    <row r="1" spans="1:57" x14ac:dyDescent="0.2">
      <c r="A1" s="94" t="s">
        <v>192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00"/>
      <c r="AD1" s="100"/>
      <c r="BE1" s="101"/>
    </row>
    <row r="2" spans="1:57" s="319" customFormat="1" ht="11.25" x14ac:dyDescent="0.2">
      <c r="A2" s="316" t="s">
        <v>190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7"/>
      <c r="AA2" s="317"/>
      <c r="AB2" s="317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</row>
    <row r="3" spans="1:57" x14ac:dyDescent="0.2">
      <c r="A3" s="231" t="s">
        <v>193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5"/>
      <c r="Z3" s="307"/>
      <c r="AA3" s="307"/>
      <c r="AB3" s="100"/>
      <c r="AC3" s="100"/>
      <c r="AD3" s="100"/>
      <c r="AZ3" s="101"/>
      <c r="BA3" s="101"/>
      <c r="BB3" s="101"/>
      <c r="BC3" s="101"/>
      <c r="BD3" s="101"/>
      <c r="BE3" s="101"/>
    </row>
    <row r="4" spans="1:57" x14ac:dyDescent="0.2">
      <c r="A4" s="175" t="s">
        <v>25</v>
      </c>
      <c r="B4" s="403" t="s">
        <v>0</v>
      </c>
      <c r="C4" s="404"/>
      <c r="D4" s="404"/>
      <c r="E4" s="404"/>
      <c r="F4" s="404"/>
      <c r="G4" s="404"/>
      <c r="H4" s="404"/>
      <c r="I4" s="404"/>
      <c r="J4" s="404"/>
      <c r="K4" s="404"/>
      <c r="L4" s="403" t="s">
        <v>1</v>
      </c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5"/>
      <c r="Z4" s="307"/>
      <c r="AA4" s="307"/>
      <c r="AB4" s="100"/>
      <c r="AC4" s="100"/>
      <c r="AD4" s="100"/>
      <c r="BA4" s="101"/>
      <c r="BB4" s="101"/>
      <c r="BC4" s="101"/>
      <c r="BD4" s="101"/>
      <c r="BE4" s="101"/>
    </row>
    <row r="5" spans="1:57" s="162" customFormat="1" x14ac:dyDescent="0.2">
      <c r="A5" s="176"/>
      <c r="B5" s="392"/>
      <c r="C5" s="393"/>
      <c r="D5" s="391"/>
      <c r="E5" s="391"/>
      <c r="F5" s="394"/>
      <c r="G5" s="394"/>
      <c r="H5" s="394"/>
      <c r="I5" s="394"/>
      <c r="J5" s="401" t="s">
        <v>23</v>
      </c>
      <c r="K5" s="393"/>
      <c r="L5" s="392"/>
      <c r="M5" s="393"/>
      <c r="N5" s="391"/>
      <c r="O5" s="391"/>
      <c r="P5" s="394"/>
      <c r="Q5" s="394"/>
      <c r="R5" s="394"/>
      <c r="S5" s="394"/>
      <c r="T5" s="394" t="s">
        <v>23</v>
      </c>
      <c r="U5" s="394"/>
      <c r="V5" s="394" t="s">
        <v>22</v>
      </c>
      <c r="W5" s="394"/>
      <c r="X5" s="393"/>
      <c r="Y5" s="395"/>
      <c r="Z5" s="306"/>
      <c r="AA5" s="306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</row>
    <row r="6" spans="1:57" s="162" customFormat="1" x14ac:dyDescent="0.2">
      <c r="A6" s="176"/>
      <c r="B6" s="399" t="s">
        <v>2</v>
      </c>
      <c r="C6" s="397"/>
      <c r="D6" s="400" t="s">
        <v>3</v>
      </c>
      <c r="E6" s="400"/>
      <c r="F6" s="396" t="s">
        <v>4</v>
      </c>
      <c r="G6" s="396"/>
      <c r="H6" s="396" t="s">
        <v>5</v>
      </c>
      <c r="I6" s="396"/>
      <c r="J6" s="402" t="s">
        <v>6</v>
      </c>
      <c r="K6" s="397"/>
      <c r="L6" s="399" t="s">
        <v>2</v>
      </c>
      <c r="M6" s="397"/>
      <c r="N6" s="400" t="s">
        <v>3</v>
      </c>
      <c r="O6" s="400"/>
      <c r="P6" s="396" t="s">
        <v>4</v>
      </c>
      <c r="Q6" s="396"/>
      <c r="R6" s="396" t="s">
        <v>5</v>
      </c>
      <c r="S6" s="396"/>
      <c r="T6" s="396" t="s">
        <v>6</v>
      </c>
      <c r="U6" s="396"/>
      <c r="V6" s="396" t="s">
        <v>7</v>
      </c>
      <c r="W6" s="396"/>
      <c r="X6" s="397" t="s">
        <v>7</v>
      </c>
      <c r="Y6" s="398"/>
      <c r="Z6" s="306"/>
      <c r="AA6" s="306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</row>
    <row r="7" spans="1:57" x14ac:dyDescent="0.2">
      <c r="A7" s="108" t="s">
        <v>154</v>
      </c>
      <c r="B7" s="288">
        <v>1200</v>
      </c>
      <c r="C7" s="287" t="s">
        <v>158</v>
      </c>
      <c r="D7" s="278">
        <f>'Peanut Price Calculator'!B10</f>
        <v>4700</v>
      </c>
      <c r="E7" s="279" t="s">
        <v>158</v>
      </c>
      <c r="F7" s="282">
        <v>200</v>
      </c>
      <c r="G7" s="283" t="s">
        <v>161</v>
      </c>
      <c r="H7" s="282">
        <v>60</v>
      </c>
      <c r="I7" s="283" t="s">
        <v>161</v>
      </c>
      <c r="J7" s="282">
        <v>100</v>
      </c>
      <c r="K7" s="287" t="s">
        <v>161</v>
      </c>
      <c r="L7" s="289">
        <v>750</v>
      </c>
      <c r="M7" s="287" t="s">
        <v>158</v>
      </c>
      <c r="N7" s="278">
        <f>'Peanut Price Calculator'!B21</f>
        <v>3400</v>
      </c>
      <c r="O7" s="279" t="s">
        <v>158</v>
      </c>
      <c r="P7" s="282">
        <v>85</v>
      </c>
      <c r="Q7" s="283" t="s">
        <v>161</v>
      </c>
      <c r="R7" s="282">
        <v>30</v>
      </c>
      <c r="S7" s="283" t="s">
        <v>161</v>
      </c>
      <c r="T7" s="282">
        <v>65</v>
      </c>
      <c r="U7" s="283" t="s">
        <v>161</v>
      </c>
      <c r="V7" s="282">
        <v>75</v>
      </c>
      <c r="W7" s="283" t="s">
        <v>161</v>
      </c>
      <c r="X7" s="284">
        <v>55</v>
      </c>
      <c r="Y7" s="285" t="s">
        <v>161</v>
      </c>
      <c r="Z7" s="307"/>
      <c r="AA7" s="307"/>
      <c r="AB7" s="100"/>
      <c r="AC7" s="100"/>
      <c r="AD7" s="100"/>
      <c r="BB7" s="101"/>
      <c r="BC7" s="101"/>
      <c r="BD7" s="101"/>
      <c r="BE7" s="101"/>
    </row>
    <row r="8" spans="1:57" ht="13.5" thickBot="1" x14ac:dyDescent="0.25">
      <c r="A8" s="109" t="s">
        <v>124</v>
      </c>
      <c r="B8" s="277">
        <v>0.7</v>
      </c>
      <c r="C8" s="276" t="s">
        <v>159</v>
      </c>
      <c r="D8" s="280">
        <f>'Peanut Price Calculator'!B17</f>
        <v>430</v>
      </c>
      <c r="E8" s="281" t="s">
        <v>160</v>
      </c>
      <c r="F8" s="273">
        <v>4.1500000000000004</v>
      </c>
      <c r="G8" s="270" t="s">
        <v>162</v>
      </c>
      <c r="H8" s="273">
        <v>9.5</v>
      </c>
      <c r="I8" s="270" t="s">
        <v>162</v>
      </c>
      <c r="J8" s="273">
        <v>3.75</v>
      </c>
      <c r="K8" s="276" t="s">
        <v>162</v>
      </c>
      <c r="L8" s="308">
        <f>B8</f>
        <v>0.7</v>
      </c>
      <c r="M8" s="276" t="s">
        <v>159</v>
      </c>
      <c r="N8" s="280">
        <f>'Peanut Price Calculator'!B28</f>
        <v>430</v>
      </c>
      <c r="O8" s="281" t="s">
        <v>160</v>
      </c>
      <c r="P8" s="269">
        <f>F8</f>
        <v>4.1500000000000004</v>
      </c>
      <c r="Q8" s="270" t="s">
        <v>162</v>
      </c>
      <c r="R8" s="269">
        <f>H8</f>
        <v>9.5</v>
      </c>
      <c r="S8" s="270" t="s">
        <v>162</v>
      </c>
      <c r="T8" s="269">
        <f>J8</f>
        <v>3.75</v>
      </c>
      <c r="U8" s="270" t="s">
        <v>162</v>
      </c>
      <c r="V8" s="273">
        <v>4.1500000000000004</v>
      </c>
      <c r="W8" s="270" t="s">
        <v>162</v>
      </c>
      <c r="X8" s="271">
        <f>V8</f>
        <v>4.1500000000000004</v>
      </c>
      <c r="Y8" s="272" t="s">
        <v>162</v>
      </c>
      <c r="Z8" s="307"/>
      <c r="AA8" s="307"/>
      <c r="AB8" s="100"/>
      <c r="AC8" s="100"/>
      <c r="AD8" s="100"/>
      <c r="BB8" s="101"/>
      <c r="BC8" s="101"/>
      <c r="BD8" s="101"/>
      <c r="BE8" s="101"/>
    </row>
    <row r="9" spans="1:57" x14ac:dyDescent="0.2">
      <c r="A9" s="110" t="s">
        <v>155</v>
      </c>
      <c r="B9" s="384">
        <f>B7*B8</f>
        <v>840</v>
      </c>
      <c r="C9" s="379"/>
      <c r="D9" s="381">
        <f>D8*(D7/2000)</f>
        <v>1010.5</v>
      </c>
      <c r="E9" s="381"/>
      <c r="F9" s="381">
        <f>F7*F8</f>
        <v>830.00000000000011</v>
      </c>
      <c r="G9" s="381"/>
      <c r="H9" s="381">
        <f>H7*H8</f>
        <v>570</v>
      </c>
      <c r="I9" s="381"/>
      <c r="J9" s="387">
        <f>J7*J8</f>
        <v>375</v>
      </c>
      <c r="K9" s="379"/>
      <c r="L9" s="384">
        <f>L7*L8</f>
        <v>525</v>
      </c>
      <c r="M9" s="379"/>
      <c r="N9" s="381">
        <f>N8*(N7/2000)</f>
        <v>731</v>
      </c>
      <c r="O9" s="381"/>
      <c r="P9" s="381">
        <f>P7*P8</f>
        <v>352.75000000000006</v>
      </c>
      <c r="Q9" s="381"/>
      <c r="R9" s="381">
        <f>R7*R8</f>
        <v>285</v>
      </c>
      <c r="S9" s="381"/>
      <c r="T9" s="381">
        <f>T7*T8</f>
        <v>243.75</v>
      </c>
      <c r="U9" s="381"/>
      <c r="V9" s="381">
        <f>V7*V8</f>
        <v>311.25</v>
      </c>
      <c r="W9" s="381"/>
      <c r="X9" s="379">
        <f>X7*X8</f>
        <v>228.25000000000003</v>
      </c>
      <c r="Y9" s="380"/>
      <c r="Z9" s="307"/>
      <c r="AA9" s="307"/>
      <c r="AB9" s="100"/>
      <c r="AC9" s="100"/>
      <c r="AD9" s="100"/>
      <c r="BB9" s="101"/>
      <c r="BC9" s="101"/>
      <c r="BD9" s="101"/>
      <c r="BE9" s="101"/>
    </row>
    <row r="10" spans="1:57" x14ac:dyDescent="0.2">
      <c r="A10" s="111" t="s">
        <v>156</v>
      </c>
      <c r="B10" s="376"/>
      <c r="C10" s="373"/>
      <c r="D10" s="375"/>
      <c r="E10" s="375"/>
      <c r="F10" s="375"/>
      <c r="G10" s="375"/>
      <c r="H10" s="375"/>
      <c r="I10" s="375"/>
      <c r="J10" s="383"/>
      <c r="K10" s="373"/>
      <c r="L10" s="376"/>
      <c r="M10" s="373"/>
      <c r="N10" s="375"/>
      <c r="O10" s="375"/>
      <c r="P10" s="375"/>
      <c r="Q10" s="375"/>
      <c r="R10" s="375"/>
      <c r="S10" s="375"/>
      <c r="T10" s="375"/>
      <c r="U10" s="375"/>
      <c r="V10" s="302"/>
      <c r="W10" s="301"/>
      <c r="X10" s="373"/>
      <c r="Y10" s="374"/>
      <c r="Z10" s="307"/>
      <c r="AA10" s="307"/>
      <c r="AB10" s="100"/>
      <c r="AC10" s="100"/>
      <c r="AD10" s="100"/>
      <c r="BB10" s="101"/>
      <c r="BC10" s="101"/>
      <c r="BD10" s="101"/>
      <c r="BE10" s="101"/>
    </row>
    <row r="11" spans="1:57" x14ac:dyDescent="0.2">
      <c r="A11" s="105" t="s">
        <v>24</v>
      </c>
      <c r="B11" s="386">
        <v>103</v>
      </c>
      <c r="C11" s="377"/>
      <c r="D11" s="382">
        <f>0.75*140</f>
        <v>105</v>
      </c>
      <c r="E11" s="382"/>
      <c r="F11" s="382">
        <v>95</v>
      </c>
      <c r="G11" s="382"/>
      <c r="H11" s="382">
        <v>51.5</v>
      </c>
      <c r="I11" s="382"/>
      <c r="J11" s="385">
        <v>22</v>
      </c>
      <c r="K11" s="377"/>
      <c r="L11" s="386">
        <v>103</v>
      </c>
      <c r="M11" s="377"/>
      <c r="N11" s="382">
        <v>105</v>
      </c>
      <c r="O11" s="382"/>
      <c r="P11" s="382">
        <v>51</v>
      </c>
      <c r="Q11" s="382"/>
      <c r="R11" s="382">
        <v>51.5</v>
      </c>
      <c r="S11" s="382"/>
      <c r="T11" s="382">
        <v>15</v>
      </c>
      <c r="U11" s="382"/>
      <c r="V11" s="382">
        <v>50</v>
      </c>
      <c r="W11" s="382"/>
      <c r="X11" s="377">
        <v>30</v>
      </c>
      <c r="Y11" s="378"/>
      <c r="Z11" s="307"/>
      <c r="AA11" s="307"/>
      <c r="AB11" s="100"/>
      <c r="AC11" s="100"/>
      <c r="AD11" s="100"/>
      <c r="BB11" s="101"/>
      <c r="BC11" s="101"/>
      <c r="BD11" s="101"/>
      <c r="BE11" s="101"/>
    </row>
    <row r="12" spans="1:57" x14ac:dyDescent="0.2">
      <c r="A12" s="105" t="s">
        <v>8</v>
      </c>
      <c r="B12" s="348">
        <f>B7/495*0.75</f>
        <v>1.8181818181818183</v>
      </c>
      <c r="C12" s="349"/>
      <c r="D12" s="339"/>
      <c r="E12" s="339"/>
      <c r="F12" s="339"/>
      <c r="G12" s="339"/>
      <c r="H12" s="339"/>
      <c r="I12" s="339"/>
      <c r="J12" s="349"/>
      <c r="K12" s="349"/>
      <c r="L12" s="348">
        <f>L7/495*0.75</f>
        <v>1.1363636363636362</v>
      </c>
      <c r="M12" s="34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49"/>
      <c r="Y12" s="356"/>
      <c r="Z12" s="307"/>
      <c r="AA12" s="307"/>
      <c r="AB12" s="100"/>
      <c r="AC12" s="100"/>
      <c r="AD12" s="100"/>
      <c r="BB12" s="101"/>
      <c r="BC12" s="101"/>
      <c r="BD12" s="101"/>
      <c r="BE12" s="101"/>
    </row>
    <row r="13" spans="1:57" x14ac:dyDescent="0.2">
      <c r="A13" s="105" t="s">
        <v>27</v>
      </c>
      <c r="B13" s="348">
        <f>14.85+5.5+B7*0.075*$D$46+0.0583*B7*$F$46+0.0583*B7*$H$46</f>
        <v>105.0232</v>
      </c>
      <c r="C13" s="349"/>
      <c r="D13" s="339">
        <f>52.5+8+2.93</f>
        <v>63.43</v>
      </c>
      <c r="E13" s="339"/>
      <c r="F13" s="339">
        <f>21+F7*1.2*$D$46+F7*0.5*$F$46+F7*$H$46</f>
        <v>216.8</v>
      </c>
      <c r="G13" s="339"/>
      <c r="H13" s="339">
        <f>4+13.86+0.6667*H7*$F$46+1.333*H7*$H$46+2.93</f>
        <v>58.785180000000004</v>
      </c>
      <c r="I13" s="339"/>
      <c r="J13" s="349">
        <f>21+1.25*J7*$D$46+0.6*J7*$F$46+0.9*J7*$H$46</f>
        <v>122.10000000000001</v>
      </c>
      <c r="K13" s="349"/>
      <c r="L13" s="348">
        <f>14.85+5.5+0.08*L7*$D$46+0.0667*L7*$F$46+0.0667*L7*$H$46</f>
        <v>79.066749999999999</v>
      </c>
      <c r="M13" s="349"/>
      <c r="N13" s="339">
        <f>52.5+8+2.93</f>
        <v>63.43</v>
      </c>
      <c r="O13" s="339"/>
      <c r="P13" s="339">
        <f>10.5+P7*1.1765*$D$46+0.4706*P7*$F$46+0.7059*P7*$H$46</f>
        <v>84.901860000000013</v>
      </c>
      <c r="Q13" s="339"/>
      <c r="R13" s="336">
        <f>4+13.86+1.3333*R7*$F$46+2.6667*R7*$H$46+2.93</f>
        <v>58.78989</v>
      </c>
      <c r="S13" s="337"/>
      <c r="T13" s="339">
        <f>10.5+1.2308*T7*$D$46+0.6154*T7*$F$46+0.9231*T7*$H$46</f>
        <v>76.501649999999998</v>
      </c>
      <c r="U13" s="339"/>
      <c r="V13" s="339">
        <f>11+1.6*V7*$D$46+0.6667*V7*$F$46+0.8*V7*$H$46</f>
        <v>97.700975</v>
      </c>
      <c r="W13" s="339"/>
      <c r="X13" s="349">
        <f>11+1.4545*X7*$D$46+0.7273*X7*$F$46+0.7273*X7*$H$46</f>
        <v>71.399955000000006</v>
      </c>
      <c r="Y13" s="356"/>
      <c r="Z13" s="307"/>
      <c r="AA13" s="309"/>
      <c r="AB13" s="100"/>
      <c r="AC13" s="100"/>
      <c r="AD13" s="100"/>
      <c r="BB13" s="101"/>
      <c r="BC13" s="101"/>
      <c r="BD13" s="101"/>
      <c r="BE13" s="101"/>
    </row>
    <row r="14" spans="1:57" x14ac:dyDescent="0.2">
      <c r="A14" s="105" t="s">
        <v>125</v>
      </c>
      <c r="B14" s="348"/>
      <c r="C14" s="349"/>
      <c r="D14" s="339"/>
      <c r="E14" s="339"/>
      <c r="F14" s="339"/>
      <c r="G14" s="339"/>
      <c r="H14" s="339"/>
      <c r="I14" s="339"/>
      <c r="J14" s="349"/>
      <c r="K14" s="349"/>
      <c r="L14" s="348"/>
      <c r="M14" s="34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49"/>
      <c r="Y14" s="356"/>
      <c r="Z14" s="307"/>
      <c r="AA14" s="309"/>
      <c r="AB14" s="100"/>
      <c r="AC14" s="100"/>
      <c r="AD14" s="100"/>
      <c r="BB14" s="101"/>
      <c r="BC14" s="101"/>
      <c r="BD14" s="101"/>
      <c r="BE14" s="101"/>
    </row>
    <row r="15" spans="1:57" x14ac:dyDescent="0.2">
      <c r="A15" s="105" t="s">
        <v>9</v>
      </c>
      <c r="B15" s="348">
        <v>88</v>
      </c>
      <c r="C15" s="349"/>
      <c r="D15" s="339">
        <f>39.48+41.99+87.63</f>
        <v>169.1</v>
      </c>
      <c r="E15" s="339"/>
      <c r="F15" s="339">
        <f>11.38+8.64+27.3</f>
        <v>47.320000000000007</v>
      </c>
      <c r="G15" s="339"/>
      <c r="H15" s="339">
        <f>21.43+3.66+21</f>
        <v>46.09</v>
      </c>
      <c r="I15" s="339"/>
      <c r="J15" s="349">
        <f>15.6+11.48</f>
        <v>27.08</v>
      </c>
      <c r="K15" s="349"/>
      <c r="L15" s="348">
        <v>85</v>
      </c>
      <c r="M15" s="349"/>
      <c r="N15" s="339">
        <f>44.35+41.99+46.92</f>
        <v>133.26</v>
      </c>
      <c r="O15" s="339"/>
      <c r="P15" s="339">
        <f>14.11+8.64+27.3</f>
        <v>50.05</v>
      </c>
      <c r="Q15" s="339"/>
      <c r="R15" s="339">
        <f>18.03+3.66</f>
        <v>21.69</v>
      </c>
      <c r="S15" s="339"/>
      <c r="T15" s="339">
        <f>15.6+11.48</f>
        <v>27.08</v>
      </c>
      <c r="U15" s="339"/>
      <c r="V15" s="339">
        <v>40</v>
      </c>
      <c r="W15" s="339"/>
      <c r="X15" s="349">
        <v>32.5</v>
      </c>
      <c r="Y15" s="356"/>
      <c r="Z15" s="307"/>
      <c r="AA15" s="309"/>
      <c r="AB15" s="100"/>
      <c r="AC15" s="100"/>
      <c r="AD15" s="100"/>
      <c r="BB15" s="101"/>
      <c r="BC15" s="101"/>
      <c r="BD15" s="101"/>
      <c r="BE15" s="101"/>
    </row>
    <row r="16" spans="1:57" x14ac:dyDescent="0.2">
      <c r="A16" s="105" t="s">
        <v>172</v>
      </c>
      <c r="B16" s="232"/>
      <c r="C16" s="233"/>
      <c r="D16" s="336"/>
      <c r="E16" s="337"/>
      <c r="F16" s="336"/>
      <c r="G16" s="337"/>
      <c r="H16" s="336"/>
      <c r="I16" s="337"/>
      <c r="J16" s="233"/>
      <c r="K16" s="233"/>
      <c r="L16" s="299"/>
      <c r="M16" s="298"/>
      <c r="N16" s="336"/>
      <c r="O16" s="337"/>
      <c r="P16" s="336"/>
      <c r="Q16" s="337"/>
      <c r="R16" s="336"/>
      <c r="S16" s="337"/>
      <c r="T16" s="336"/>
      <c r="U16" s="337"/>
      <c r="V16" s="336"/>
      <c r="W16" s="337"/>
      <c r="X16" s="298"/>
      <c r="Y16" s="300"/>
      <c r="Z16" s="307"/>
      <c r="AA16" s="307"/>
      <c r="AB16" s="100"/>
      <c r="AC16" s="100"/>
      <c r="AD16" s="100"/>
      <c r="BB16" s="101"/>
      <c r="BC16" s="101"/>
      <c r="BD16" s="101"/>
      <c r="BE16" s="101"/>
    </row>
    <row r="17" spans="1:57" x14ac:dyDescent="0.2">
      <c r="A17" s="105" t="s">
        <v>173</v>
      </c>
      <c r="B17" s="348">
        <v>15</v>
      </c>
      <c r="C17" s="349"/>
      <c r="D17" s="339">
        <v>15</v>
      </c>
      <c r="E17" s="339"/>
      <c r="F17" s="339"/>
      <c r="G17" s="339"/>
      <c r="H17" s="339"/>
      <c r="I17" s="339"/>
      <c r="J17" s="349"/>
      <c r="K17" s="349"/>
      <c r="L17" s="348">
        <v>15</v>
      </c>
      <c r="M17" s="349"/>
      <c r="N17" s="339">
        <v>15</v>
      </c>
      <c r="O17" s="339"/>
      <c r="P17" s="339"/>
      <c r="Q17" s="339"/>
      <c r="R17" s="339"/>
      <c r="S17" s="339"/>
      <c r="T17" s="339"/>
      <c r="U17" s="339"/>
      <c r="V17" s="339"/>
      <c r="W17" s="339"/>
      <c r="X17" s="349"/>
      <c r="Y17" s="356"/>
      <c r="Z17" s="307"/>
      <c r="AA17" s="307"/>
      <c r="AB17" s="100"/>
      <c r="AC17" s="100"/>
      <c r="AD17" s="100"/>
      <c r="BB17" s="101"/>
      <c r="BC17" s="101"/>
      <c r="BD17" s="101"/>
      <c r="BE17" s="101"/>
    </row>
    <row r="18" spans="1:57" x14ac:dyDescent="0.2">
      <c r="A18" s="105" t="s">
        <v>10</v>
      </c>
      <c r="B18" s="348">
        <v>10</v>
      </c>
      <c r="C18" s="349"/>
      <c r="D18" s="339">
        <v>10</v>
      </c>
      <c r="E18" s="339"/>
      <c r="F18" s="339"/>
      <c r="G18" s="339"/>
      <c r="H18" s="339"/>
      <c r="I18" s="339"/>
      <c r="J18" s="349"/>
      <c r="K18" s="349"/>
      <c r="L18" s="348">
        <v>10</v>
      </c>
      <c r="M18" s="349"/>
      <c r="N18" s="339">
        <v>10</v>
      </c>
      <c r="O18" s="339"/>
      <c r="P18" s="339"/>
      <c r="Q18" s="339"/>
      <c r="R18" s="339"/>
      <c r="S18" s="339"/>
      <c r="T18" s="339"/>
      <c r="U18" s="339"/>
      <c r="V18" s="339"/>
      <c r="W18" s="339"/>
      <c r="X18" s="349"/>
      <c r="Y18" s="356"/>
      <c r="Z18" s="307"/>
      <c r="AA18" s="307"/>
      <c r="AB18" s="100"/>
      <c r="AC18" s="100"/>
      <c r="AD18" s="100"/>
      <c r="BB18" s="101"/>
      <c r="BC18" s="101"/>
      <c r="BD18" s="101"/>
      <c r="BE18" s="101"/>
    </row>
    <row r="19" spans="1:57" x14ac:dyDescent="0.2">
      <c r="A19" s="105" t="s">
        <v>28</v>
      </c>
      <c r="B19" s="348">
        <f>13.05*$B$47</f>
        <v>24.795000000000002</v>
      </c>
      <c r="C19" s="349"/>
      <c r="D19" s="339">
        <f>(9.2+7.9)*$B$47</f>
        <v>32.49</v>
      </c>
      <c r="E19" s="339"/>
      <c r="F19" s="339">
        <f>7.6*$B$47</f>
        <v>14.44</v>
      </c>
      <c r="G19" s="339"/>
      <c r="H19" s="339">
        <f>6*$B$47</f>
        <v>11.399999999999999</v>
      </c>
      <c r="I19" s="339"/>
      <c r="J19" s="349">
        <f>7.6*$B$47</f>
        <v>14.44</v>
      </c>
      <c r="K19" s="349"/>
      <c r="L19" s="348">
        <f>12.78*$B$47</f>
        <v>24.281999999999996</v>
      </c>
      <c r="M19" s="349"/>
      <c r="N19" s="339">
        <f>(9.2+7.9)*$B$47</f>
        <v>32.49</v>
      </c>
      <c r="O19" s="339"/>
      <c r="P19" s="339">
        <f>7.6*B47</f>
        <v>14.44</v>
      </c>
      <c r="Q19" s="339"/>
      <c r="R19" s="339">
        <f>6*$B$47</f>
        <v>11.399999999999999</v>
      </c>
      <c r="S19" s="339"/>
      <c r="T19" s="339">
        <f>7.6*$B$47</f>
        <v>14.44</v>
      </c>
      <c r="U19" s="339"/>
      <c r="V19" s="339">
        <f>9.95*$B$47</f>
        <v>18.904999999999998</v>
      </c>
      <c r="W19" s="339"/>
      <c r="X19" s="349">
        <f>5.54*$B$47</f>
        <v>10.526</v>
      </c>
      <c r="Y19" s="356"/>
      <c r="Z19" s="307"/>
      <c r="AA19" s="307"/>
      <c r="AB19" s="100"/>
      <c r="AC19" s="100"/>
      <c r="AD19" s="100"/>
      <c r="BB19" s="101"/>
      <c r="BC19" s="101"/>
      <c r="BD19" s="101"/>
      <c r="BE19" s="101"/>
    </row>
    <row r="20" spans="1:57" x14ac:dyDescent="0.2">
      <c r="A20" s="105" t="s">
        <v>11</v>
      </c>
      <c r="B20" s="348">
        <v>32</v>
      </c>
      <c r="C20" s="349"/>
      <c r="D20" s="339">
        <f>19.38+26.89</f>
        <v>46.269999999999996</v>
      </c>
      <c r="E20" s="339"/>
      <c r="F20" s="339">
        <f>11.72+7.72</f>
        <v>19.440000000000001</v>
      </c>
      <c r="G20" s="339"/>
      <c r="H20" s="339">
        <f>7.97+7.06</f>
        <v>15.03</v>
      </c>
      <c r="I20" s="339"/>
      <c r="J20" s="336">
        <f>12.03+6.73</f>
        <v>18.759999999999998</v>
      </c>
      <c r="K20" s="356"/>
      <c r="L20" s="348">
        <v>32</v>
      </c>
      <c r="M20" s="349"/>
      <c r="N20" s="339">
        <f>19.38+26.89</f>
        <v>46.269999999999996</v>
      </c>
      <c r="O20" s="339"/>
      <c r="P20" s="339">
        <f>7.91+7.28</f>
        <v>15.190000000000001</v>
      </c>
      <c r="Q20" s="339"/>
      <c r="R20" s="339">
        <f>7.97+7.06</f>
        <v>15.03</v>
      </c>
      <c r="S20" s="339"/>
      <c r="T20" s="336">
        <f>12.03+6.73</f>
        <v>18.759999999999998</v>
      </c>
      <c r="U20" s="356"/>
      <c r="V20" s="339">
        <v>20</v>
      </c>
      <c r="W20" s="339"/>
      <c r="X20" s="349">
        <v>15</v>
      </c>
      <c r="Y20" s="356"/>
      <c r="Z20" s="307"/>
      <c r="AA20" s="307"/>
      <c r="AB20" s="100"/>
      <c r="AC20" s="100"/>
      <c r="AD20" s="100"/>
      <c r="BB20" s="101"/>
      <c r="BC20" s="101"/>
      <c r="BD20" s="101"/>
      <c r="BE20" s="101"/>
    </row>
    <row r="21" spans="1:57" x14ac:dyDescent="0.2">
      <c r="A21" s="105" t="s">
        <v>29</v>
      </c>
      <c r="B21" s="348">
        <f>((7*8)+(5*$B$47*8))/2</f>
        <v>66</v>
      </c>
      <c r="C21" s="349"/>
      <c r="D21" s="339">
        <f>((7*6)+(5*$B$47*6))/2</f>
        <v>49.5</v>
      </c>
      <c r="E21" s="339"/>
      <c r="F21" s="339">
        <f>((7*8)+(5*$B$47*8))/2</f>
        <v>66</v>
      </c>
      <c r="G21" s="339"/>
      <c r="H21" s="339">
        <f>((7*5)+(5*$B$47*5))/2</f>
        <v>41.25</v>
      </c>
      <c r="I21" s="339"/>
      <c r="J21" s="336">
        <f>((7*4)+(5*$B$47*4))/2</f>
        <v>33</v>
      </c>
      <c r="K21" s="349"/>
      <c r="L21" s="348"/>
      <c r="M21" s="349"/>
      <c r="N21" s="339"/>
      <c r="O21" s="339"/>
      <c r="P21" s="339"/>
      <c r="Q21" s="339"/>
      <c r="R21" s="339"/>
      <c r="S21" s="339"/>
      <c r="T21" s="339"/>
      <c r="U21" s="339"/>
      <c r="V21" s="336"/>
      <c r="W21" s="337"/>
      <c r="X21" s="349"/>
      <c r="Y21" s="356"/>
      <c r="Z21" s="307"/>
      <c r="AA21" s="307"/>
      <c r="AB21" s="100"/>
      <c r="AC21" s="100"/>
      <c r="AD21" s="100"/>
      <c r="BB21" s="101"/>
      <c r="BC21" s="101"/>
      <c r="BD21" s="101"/>
      <c r="BE21" s="101"/>
    </row>
    <row r="22" spans="1:57" x14ac:dyDescent="0.2">
      <c r="A22" s="105" t="s">
        <v>13</v>
      </c>
      <c r="B22" s="348">
        <v>26.04</v>
      </c>
      <c r="C22" s="349"/>
      <c r="D22" s="339">
        <v>31.42</v>
      </c>
      <c r="E22" s="339"/>
      <c r="F22" s="339">
        <f>13.49</f>
        <v>13.49</v>
      </c>
      <c r="G22" s="339"/>
      <c r="H22" s="339">
        <f>10.41</f>
        <v>10.41</v>
      </c>
      <c r="I22" s="339"/>
      <c r="J22" s="339">
        <f>13.56</f>
        <v>13.56</v>
      </c>
      <c r="K22" s="339"/>
      <c r="L22" s="348">
        <v>23.2</v>
      </c>
      <c r="M22" s="349"/>
      <c r="N22" s="339">
        <v>31.42</v>
      </c>
      <c r="O22" s="339"/>
      <c r="P22" s="339">
        <f>13.49</f>
        <v>13.49</v>
      </c>
      <c r="Q22" s="339"/>
      <c r="R22" s="339">
        <f>10.41</f>
        <v>10.41</v>
      </c>
      <c r="S22" s="339"/>
      <c r="T22" s="339">
        <f>13.56</f>
        <v>13.56</v>
      </c>
      <c r="U22" s="339"/>
      <c r="V22" s="339">
        <v>14.92</v>
      </c>
      <c r="W22" s="339"/>
      <c r="X22" s="349">
        <v>8</v>
      </c>
      <c r="Y22" s="356"/>
      <c r="Z22" s="307"/>
      <c r="AA22" s="307"/>
      <c r="AB22" s="100"/>
      <c r="AC22" s="100"/>
      <c r="AD22" s="100"/>
      <c r="BB22" s="101"/>
      <c r="BC22" s="101"/>
      <c r="BD22" s="101"/>
      <c r="BE22" s="101"/>
    </row>
    <row r="23" spans="1:57" x14ac:dyDescent="0.2">
      <c r="A23" s="105" t="s">
        <v>14</v>
      </c>
      <c r="B23" s="348">
        <v>18</v>
      </c>
      <c r="C23" s="349"/>
      <c r="D23" s="339">
        <v>21</v>
      </c>
      <c r="E23" s="339"/>
      <c r="F23" s="339">
        <v>14</v>
      </c>
      <c r="G23" s="339"/>
      <c r="H23" s="339">
        <v>10</v>
      </c>
      <c r="I23" s="339"/>
      <c r="J23" s="349">
        <v>20</v>
      </c>
      <c r="K23" s="349"/>
      <c r="L23" s="348">
        <v>26</v>
      </c>
      <c r="M23" s="349"/>
      <c r="N23" s="339">
        <v>29</v>
      </c>
      <c r="O23" s="339"/>
      <c r="P23" s="339">
        <v>25</v>
      </c>
      <c r="Q23" s="339"/>
      <c r="R23" s="339">
        <v>16</v>
      </c>
      <c r="S23" s="339"/>
      <c r="T23" s="339">
        <v>18</v>
      </c>
      <c r="U23" s="339"/>
      <c r="V23" s="339">
        <v>14</v>
      </c>
      <c r="W23" s="339"/>
      <c r="X23" s="349">
        <v>15</v>
      </c>
      <c r="Y23" s="356"/>
      <c r="Z23" s="307"/>
      <c r="AA23" s="307"/>
      <c r="AB23" s="100"/>
      <c r="AC23" s="100"/>
      <c r="AD23" s="100"/>
      <c r="BB23" s="101"/>
      <c r="BC23" s="101"/>
      <c r="BD23" s="101"/>
      <c r="BE23" s="101"/>
    </row>
    <row r="24" spans="1:57" x14ac:dyDescent="0.2">
      <c r="A24" s="105" t="s">
        <v>126</v>
      </c>
      <c r="B24" s="348"/>
      <c r="C24" s="349"/>
      <c r="D24" s="339"/>
      <c r="E24" s="339"/>
      <c r="F24" s="339"/>
      <c r="G24" s="339"/>
      <c r="H24" s="339"/>
      <c r="I24" s="339"/>
      <c r="J24" s="349"/>
      <c r="K24" s="349"/>
      <c r="L24" s="348"/>
      <c r="M24" s="34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49"/>
      <c r="Y24" s="356"/>
      <c r="Z24" s="307"/>
      <c r="AA24" s="307"/>
      <c r="AB24" s="100"/>
      <c r="AC24" s="100"/>
      <c r="AD24" s="100"/>
      <c r="BB24" s="101"/>
      <c r="BC24" s="101"/>
      <c r="BD24" s="101"/>
      <c r="BE24" s="101"/>
    </row>
    <row r="25" spans="1:57" x14ac:dyDescent="0.2">
      <c r="A25" s="105" t="s">
        <v>16</v>
      </c>
      <c r="B25" s="348"/>
      <c r="C25" s="349"/>
      <c r="D25" s="339"/>
      <c r="E25" s="339"/>
      <c r="F25" s="339"/>
      <c r="G25" s="339"/>
      <c r="H25" s="339"/>
      <c r="I25" s="339"/>
      <c r="J25" s="349"/>
      <c r="K25" s="349"/>
      <c r="L25" s="348"/>
      <c r="M25" s="34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49"/>
      <c r="Y25" s="356"/>
      <c r="Z25" s="307"/>
      <c r="AA25" s="307"/>
      <c r="AB25" s="100"/>
      <c r="AC25" s="100"/>
      <c r="AD25" s="100"/>
      <c r="BB25" s="101"/>
      <c r="BC25" s="101"/>
      <c r="BD25" s="101"/>
      <c r="BE25" s="101"/>
    </row>
    <row r="26" spans="1:57" x14ac:dyDescent="0.2">
      <c r="A26" s="105" t="s">
        <v>17</v>
      </c>
      <c r="B26" s="388">
        <f t="shared" ref="B26:X26" si="0">(SUM(B11:B25))*0.5*0.065</f>
        <v>15.914482409090912</v>
      </c>
      <c r="C26" s="367"/>
      <c r="D26" s="369">
        <f t="shared" si="0"/>
        <v>17.654324999999996</v>
      </c>
      <c r="E26" s="369"/>
      <c r="F26" s="369">
        <f t="shared" si="0"/>
        <v>15.810925000000001</v>
      </c>
      <c r="G26" s="369"/>
      <c r="H26" s="369">
        <f t="shared" si="0"/>
        <v>7.9451183500000004</v>
      </c>
      <c r="I26" s="369"/>
      <c r="J26" s="367">
        <f t="shared" si="0"/>
        <v>8.8055500000000002</v>
      </c>
      <c r="K26" s="367"/>
      <c r="L26" s="388">
        <f t="shared" si="0"/>
        <v>12.957266193181818</v>
      </c>
      <c r="M26" s="367"/>
      <c r="N26" s="369">
        <f t="shared" si="0"/>
        <v>15.140775000000001</v>
      </c>
      <c r="O26" s="369"/>
      <c r="P26" s="369">
        <f t="shared" si="0"/>
        <v>8.2573354500000011</v>
      </c>
      <c r="Q26" s="369"/>
      <c r="R26" s="369">
        <f t="shared" si="0"/>
        <v>6.0066464250000005</v>
      </c>
      <c r="S26" s="369"/>
      <c r="T26" s="369">
        <f t="shared" si="0"/>
        <v>5.9586036249999994</v>
      </c>
      <c r="U26" s="369"/>
      <c r="V26" s="369">
        <f>(SUM(V11:V25))*0.5*0.065</f>
        <v>8.3045941874999993</v>
      </c>
      <c r="W26" s="369"/>
      <c r="X26" s="367">
        <f t="shared" si="0"/>
        <v>5.9288435375000006</v>
      </c>
      <c r="Y26" s="368"/>
      <c r="Z26" s="307"/>
      <c r="AA26" s="307"/>
      <c r="AB26" s="100"/>
      <c r="AC26" s="100"/>
      <c r="AD26" s="100"/>
      <c r="BB26" s="101"/>
      <c r="BC26" s="101"/>
      <c r="BD26" s="101"/>
      <c r="BE26" s="101"/>
    </row>
    <row r="27" spans="1:57" x14ac:dyDescent="0.2">
      <c r="A27" s="105" t="s">
        <v>171</v>
      </c>
      <c r="B27" s="388">
        <f>(B7*0.08)+(B7/500*16.75)-(1.253*B7/2000*185)</f>
        <v>-2.8829999999999814</v>
      </c>
      <c r="C27" s="367"/>
      <c r="D27" s="369"/>
      <c r="E27" s="369"/>
      <c r="F27" s="369"/>
      <c r="G27" s="369"/>
      <c r="H27" s="369"/>
      <c r="I27" s="369"/>
      <c r="J27" s="367"/>
      <c r="K27" s="367"/>
      <c r="L27" s="388">
        <f>(L7*0.08)+(L7/500*16.75)-(1.253*L7/2000*195)</f>
        <v>-6.5006249999999852</v>
      </c>
      <c r="M27" s="367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7"/>
      <c r="Y27" s="368"/>
      <c r="Z27" s="307"/>
      <c r="AA27" s="307"/>
      <c r="AB27" s="100"/>
      <c r="AC27" s="100"/>
      <c r="AD27" s="100"/>
      <c r="BB27" s="101"/>
      <c r="BC27" s="101"/>
      <c r="BD27" s="101"/>
      <c r="BE27" s="101"/>
    </row>
    <row r="28" spans="1:57" x14ac:dyDescent="0.2">
      <c r="A28" s="105" t="s">
        <v>15</v>
      </c>
      <c r="B28" s="388"/>
      <c r="C28" s="367"/>
      <c r="D28" s="369">
        <f>D7/2000*0.33*20+D7/2000*0.67*30</f>
        <v>62.745000000000005</v>
      </c>
      <c r="E28" s="369"/>
      <c r="F28" s="369">
        <f>F7*1.0975*0.28</f>
        <v>61.46</v>
      </c>
      <c r="G28" s="369"/>
      <c r="H28" s="369"/>
      <c r="I28" s="369"/>
      <c r="J28" s="367">
        <f>J7*1.0975*0.28</f>
        <v>30.73</v>
      </c>
      <c r="K28" s="367"/>
      <c r="L28" s="388"/>
      <c r="M28" s="367"/>
      <c r="N28" s="369">
        <f>N7/2000*0.33*20+N7/2000*0.67*30</f>
        <v>45.39</v>
      </c>
      <c r="O28" s="369"/>
      <c r="P28" s="369">
        <f>P7*1.0975*0.28</f>
        <v>26.1205</v>
      </c>
      <c r="Q28" s="369"/>
      <c r="R28" s="369"/>
      <c r="S28" s="369"/>
      <c r="T28" s="369">
        <f>T7*1.0975*0.28</f>
        <v>19.974499999999999</v>
      </c>
      <c r="U28" s="369"/>
      <c r="V28" s="369">
        <f>V7*1.03*0.095</f>
        <v>7.3387500000000001</v>
      </c>
      <c r="W28" s="369"/>
      <c r="X28" s="367">
        <f>X7*1.03*0.095</f>
        <v>5.3817500000000003</v>
      </c>
      <c r="Y28" s="368"/>
      <c r="Z28" s="307"/>
      <c r="AA28" s="307"/>
      <c r="AB28" s="100"/>
      <c r="AC28" s="100"/>
      <c r="AD28" s="100"/>
      <c r="BB28" s="101"/>
      <c r="BC28" s="101"/>
      <c r="BD28" s="101"/>
      <c r="BE28" s="101"/>
    </row>
    <row r="29" spans="1:57" x14ac:dyDescent="0.2">
      <c r="A29" s="105" t="s">
        <v>18</v>
      </c>
      <c r="B29" s="350"/>
      <c r="C29" s="351"/>
      <c r="D29" s="340">
        <f>D7/2000*3+D7/2000*355*0.01</f>
        <v>15.3925</v>
      </c>
      <c r="E29" s="340"/>
      <c r="F29" s="340"/>
      <c r="G29" s="340"/>
      <c r="H29" s="340"/>
      <c r="I29" s="340"/>
      <c r="J29" s="351"/>
      <c r="K29" s="351"/>
      <c r="L29" s="350"/>
      <c r="M29" s="351"/>
      <c r="N29" s="340">
        <f>N7/2000*3+N7/2000*355*0.01</f>
        <v>11.135</v>
      </c>
      <c r="O29" s="340"/>
      <c r="P29" s="340"/>
      <c r="Q29" s="340"/>
      <c r="R29" s="340"/>
      <c r="S29" s="340"/>
      <c r="T29" s="340"/>
      <c r="U29" s="340"/>
      <c r="V29" s="340"/>
      <c r="W29" s="340"/>
      <c r="X29" s="351"/>
      <c r="Y29" s="360"/>
      <c r="Z29" s="307"/>
      <c r="AA29" s="307"/>
      <c r="AB29" s="100"/>
      <c r="AC29" s="100"/>
      <c r="AD29" s="100"/>
      <c r="BB29" s="101"/>
      <c r="BC29" s="101"/>
      <c r="BD29" s="101"/>
      <c r="BE29" s="101"/>
    </row>
    <row r="30" spans="1:57" ht="13.5" thickBot="1" x14ac:dyDescent="0.25">
      <c r="A30" s="125" t="s">
        <v>157</v>
      </c>
      <c r="B30" s="363">
        <f t="shared" ref="B30:X30" si="1">SUM(B11:B29)</f>
        <v>502.70786422727281</v>
      </c>
      <c r="C30" s="362"/>
      <c r="D30" s="343">
        <f t="shared" si="1"/>
        <v>639.00182499999994</v>
      </c>
      <c r="E30" s="343"/>
      <c r="F30" s="343">
        <f t="shared" si="1"/>
        <v>563.76092500000004</v>
      </c>
      <c r="G30" s="343"/>
      <c r="H30" s="343">
        <f t="shared" si="1"/>
        <v>252.41029835000001</v>
      </c>
      <c r="I30" s="343"/>
      <c r="J30" s="362">
        <f t="shared" si="1"/>
        <v>310.47555</v>
      </c>
      <c r="K30" s="362"/>
      <c r="L30" s="363">
        <f>SUM(L11:L29)</f>
        <v>405.14175482954545</v>
      </c>
      <c r="M30" s="362"/>
      <c r="N30" s="343">
        <f t="shared" si="1"/>
        <v>537.53577500000006</v>
      </c>
      <c r="O30" s="343"/>
      <c r="P30" s="343">
        <f t="shared" si="1"/>
        <v>288.44969545000004</v>
      </c>
      <c r="Q30" s="343"/>
      <c r="R30" s="343">
        <f t="shared" si="1"/>
        <v>190.82653642500003</v>
      </c>
      <c r="S30" s="343"/>
      <c r="T30" s="343">
        <f t="shared" si="1"/>
        <v>209.27475362499999</v>
      </c>
      <c r="U30" s="343"/>
      <c r="V30" s="343">
        <f>SUM(V11:V29)</f>
        <v>271.16931918749998</v>
      </c>
      <c r="W30" s="343"/>
      <c r="X30" s="362">
        <f t="shared" si="1"/>
        <v>193.73654853750003</v>
      </c>
      <c r="Y30" s="365"/>
      <c r="Z30" s="307"/>
      <c r="AA30" s="307"/>
      <c r="AB30" s="100"/>
      <c r="AC30" s="100"/>
      <c r="AD30" s="100"/>
      <c r="BB30" s="101"/>
      <c r="BC30" s="101"/>
      <c r="BD30" s="101"/>
      <c r="BE30" s="101"/>
    </row>
    <row r="31" spans="1:57" s="165" customFormat="1" x14ac:dyDescent="0.2">
      <c r="A31" s="163" t="s">
        <v>163</v>
      </c>
      <c r="B31" s="389">
        <f t="shared" ref="B31:X31" si="2">B9-B30</f>
        <v>337.29213577272719</v>
      </c>
      <c r="C31" s="371"/>
      <c r="D31" s="370">
        <f t="shared" si="2"/>
        <v>371.49817500000006</v>
      </c>
      <c r="E31" s="370"/>
      <c r="F31" s="370">
        <f t="shared" si="2"/>
        <v>266.23907500000007</v>
      </c>
      <c r="G31" s="370"/>
      <c r="H31" s="370">
        <f t="shared" si="2"/>
        <v>317.58970164999999</v>
      </c>
      <c r="I31" s="370"/>
      <c r="J31" s="371">
        <f t="shared" si="2"/>
        <v>64.524450000000002</v>
      </c>
      <c r="K31" s="371"/>
      <c r="L31" s="389">
        <f t="shared" si="2"/>
        <v>119.85824517045455</v>
      </c>
      <c r="M31" s="371"/>
      <c r="N31" s="370">
        <f t="shared" si="2"/>
        <v>193.46422499999994</v>
      </c>
      <c r="O31" s="370"/>
      <c r="P31" s="370">
        <f t="shared" si="2"/>
        <v>64.300304550000021</v>
      </c>
      <c r="Q31" s="370"/>
      <c r="R31" s="370">
        <f t="shared" si="2"/>
        <v>94.173463574999971</v>
      </c>
      <c r="S31" s="370"/>
      <c r="T31" s="370">
        <f t="shared" si="2"/>
        <v>34.475246375000012</v>
      </c>
      <c r="U31" s="370"/>
      <c r="V31" s="370">
        <f>V9-V30</f>
        <v>40.08068081250002</v>
      </c>
      <c r="W31" s="370"/>
      <c r="X31" s="371">
        <f t="shared" si="2"/>
        <v>34.513451462500001</v>
      </c>
      <c r="Y31" s="372"/>
      <c r="Z31" s="310"/>
      <c r="AA31" s="310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</row>
    <row r="32" spans="1:57" x14ac:dyDescent="0.2">
      <c r="A32" s="261" t="s">
        <v>170</v>
      </c>
      <c r="B32" s="262">
        <f>B30/B7</f>
        <v>0.41892322018939399</v>
      </c>
      <c r="C32" s="263" t="s">
        <v>159</v>
      </c>
      <c r="D32" s="264">
        <f>D30/D7*2000</f>
        <v>271.91567021276592</v>
      </c>
      <c r="E32" s="265" t="s">
        <v>160</v>
      </c>
      <c r="F32" s="266">
        <f>F30/F7</f>
        <v>2.8188046250000003</v>
      </c>
      <c r="G32" s="265" t="s">
        <v>162</v>
      </c>
      <c r="H32" s="266">
        <f>H30/H7</f>
        <v>4.2068383058333332</v>
      </c>
      <c r="I32" s="265" t="s">
        <v>162</v>
      </c>
      <c r="J32" s="267">
        <f>J30/J7</f>
        <v>3.1047555</v>
      </c>
      <c r="K32" s="263" t="s">
        <v>162</v>
      </c>
      <c r="L32" s="262">
        <f>L30/L7</f>
        <v>0.54018900643939394</v>
      </c>
      <c r="M32" s="263" t="s">
        <v>159</v>
      </c>
      <c r="N32" s="264">
        <f>N30/N7*2000</f>
        <v>316.19751470588238</v>
      </c>
      <c r="O32" s="265" t="s">
        <v>160</v>
      </c>
      <c r="P32" s="266">
        <f>P30/P7</f>
        <v>3.3935258288235297</v>
      </c>
      <c r="Q32" s="265" t="s">
        <v>162</v>
      </c>
      <c r="R32" s="266">
        <f>R30/R7</f>
        <v>6.3608845475000013</v>
      </c>
      <c r="S32" s="265" t="s">
        <v>162</v>
      </c>
      <c r="T32" s="266">
        <f>T30/T7</f>
        <v>3.219611594230769</v>
      </c>
      <c r="U32" s="265" t="s">
        <v>162</v>
      </c>
      <c r="V32" s="266">
        <f>V30/V7</f>
        <v>3.6155909224999996</v>
      </c>
      <c r="W32" s="265" t="s">
        <v>162</v>
      </c>
      <c r="X32" s="267">
        <f>X30/X7</f>
        <v>3.5224827006818189</v>
      </c>
      <c r="Y32" s="268" t="s">
        <v>162</v>
      </c>
      <c r="Z32" s="307"/>
      <c r="AA32" s="307"/>
      <c r="AB32" s="100"/>
      <c r="AC32" s="100"/>
      <c r="AD32" s="100"/>
      <c r="BB32" s="101"/>
      <c r="BC32" s="101"/>
      <c r="BD32" s="101"/>
      <c r="BE32" s="101"/>
    </row>
    <row r="33" spans="1:57" x14ac:dyDescent="0.2">
      <c r="A33" s="127" t="s">
        <v>189</v>
      </c>
      <c r="B33" s="323">
        <f>B30/B8</f>
        <v>718.15409175324692</v>
      </c>
      <c r="C33" s="324" t="s">
        <v>158</v>
      </c>
      <c r="D33" s="325">
        <f>D30/D8*2000</f>
        <v>2972.1015116279068</v>
      </c>
      <c r="E33" s="326" t="s">
        <v>158</v>
      </c>
      <c r="F33" s="325">
        <f>F30/F8</f>
        <v>135.8460060240964</v>
      </c>
      <c r="G33" s="326" t="s">
        <v>161</v>
      </c>
      <c r="H33" s="325">
        <f>H30/H8</f>
        <v>26.569505089473683</v>
      </c>
      <c r="I33" s="326" t="s">
        <v>161</v>
      </c>
      <c r="J33" s="327">
        <f>J30/J8</f>
        <v>82.793480000000002</v>
      </c>
      <c r="K33" s="324" t="s">
        <v>161</v>
      </c>
      <c r="L33" s="323">
        <f>L30/L8</f>
        <v>578.77393547077929</v>
      </c>
      <c r="M33" s="324" t="s">
        <v>158</v>
      </c>
      <c r="N33" s="325">
        <f>N30/N8*2000</f>
        <v>2500.1663953488373</v>
      </c>
      <c r="O33" s="326" t="s">
        <v>158</v>
      </c>
      <c r="P33" s="325">
        <f>P30/P8</f>
        <v>69.505950710843379</v>
      </c>
      <c r="Q33" s="326" t="s">
        <v>161</v>
      </c>
      <c r="R33" s="325">
        <f>R30/R8</f>
        <v>20.087003834210531</v>
      </c>
      <c r="S33" s="326" t="s">
        <v>161</v>
      </c>
      <c r="T33" s="325">
        <f>T30/T8</f>
        <v>55.806600966666664</v>
      </c>
      <c r="U33" s="326" t="s">
        <v>161</v>
      </c>
      <c r="V33" s="325">
        <f>V30/V8</f>
        <v>65.342004623493963</v>
      </c>
      <c r="W33" s="326" t="s">
        <v>161</v>
      </c>
      <c r="X33" s="325">
        <f>X30/X8</f>
        <v>46.683505671686753</v>
      </c>
      <c r="Y33" s="321" t="s">
        <v>161</v>
      </c>
      <c r="Z33" s="307"/>
      <c r="AA33" s="307"/>
      <c r="AB33" s="100"/>
      <c r="AC33" s="100"/>
      <c r="AD33" s="100"/>
      <c r="BB33" s="101"/>
      <c r="BC33" s="101"/>
      <c r="BD33" s="101"/>
      <c r="BE33" s="101"/>
    </row>
    <row r="34" spans="1:57" x14ac:dyDescent="0.2">
      <c r="A34" s="108" t="s">
        <v>164</v>
      </c>
      <c r="B34" s="388"/>
      <c r="C34" s="367"/>
      <c r="D34" s="369"/>
      <c r="E34" s="369"/>
      <c r="F34" s="369"/>
      <c r="G34" s="369"/>
      <c r="H34" s="369"/>
      <c r="I34" s="369"/>
      <c r="J34" s="367"/>
      <c r="K34" s="367"/>
      <c r="L34" s="388"/>
      <c r="M34" s="367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7"/>
      <c r="Y34" s="368"/>
      <c r="Z34" s="307"/>
      <c r="AA34" s="307"/>
      <c r="AB34" s="100"/>
      <c r="AC34" s="100"/>
      <c r="AD34" s="100"/>
      <c r="BB34" s="101"/>
      <c r="BC34" s="101"/>
      <c r="BD34" s="101"/>
      <c r="BE34" s="101"/>
    </row>
    <row r="35" spans="1:57" x14ac:dyDescent="0.2">
      <c r="A35" s="105" t="s">
        <v>19</v>
      </c>
      <c r="B35" s="348">
        <v>153</v>
      </c>
      <c r="C35" s="349"/>
      <c r="D35" s="339">
        <f>56.09+81.62</f>
        <v>137.71</v>
      </c>
      <c r="E35" s="339"/>
      <c r="F35" s="339">
        <f>32.15+37.66</f>
        <v>69.81</v>
      </c>
      <c r="G35" s="339"/>
      <c r="H35" s="339">
        <f>22.75+34.56</f>
        <v>57.31</v>
      </c>
      <c r="I35" s="339"/>
      <c r="J35" s="336">
        <f>32.49+34.68</f>
        <v>67.17</v>
      </c>
      <c r="K35" s="390"/>
      <c r="L35" s="348">
        <v>153</v>
      </c>
      <c r="M35" s="349"/>
      <c r="N35" s="339">
        <f>56.09+81.62</f>
        <v>137.71</v>
      </c>
      <c r="O35" s="339"/>
      <c r="P35" s="339">
        <f>32.15+37.66</f>
        <v>69.81</v>
      </c>
      <c r="Q35" s="339"/>
      <c r="R35" s="339">
        <f>22.75+34.56</f>
        <v>57.31</v>
      </c>
      <c r="S35" s="339"/>
      <c r="T35" s="336">
        <f>32.49+34.68</f>
        <v>67.17</v>
      </c>
      <c r="U35" s="337"/>
      <c r="V35" s="339">
        <v>69</v>
      </c>
      <c r="W35" s="339"/>
      <c r="X35" s="349">
        <v>45</v>
      </c>
      <c r="Y35" s="356"/>
      <c r="Z35" s="307"/>
      <c r="AA35" s="307"/>
      <c r="AB35" s="100"/>
      <c r="AC35" s="100"/>
      <c r="AD35" s="100"/>
      <c r="BB35" s="101"/>
      <c r="BC35" s="101"/>
      <c r="BD35" s="101"/>
      <c r="BE35" s="101"/>
    </row>
    <row r="36" spans="1:57" x14ac:dyDescent="0.2">
      <c r="A36" s="105" t="s">
        <v>12</v>
      </c>
      <c r="B36" s="348">
        <v>125</v>
      </c>
      <c r="C36" s="349"/>
      <c r="D36" s="339">
        <v>125</v>
      </c>
      <c r="E36" s="339"/>
      <c r="F36" s="339">
        <v>125</v>
      </c>
      <c r="G36" s="339"/>
      <c r="H36" s="339">
        <v>125</v>
      </c>
      <c r="I36" s="339"/>
      <c r="J36" s="349">
        <v>125</v>
      </c>
      <c r="K36" s="349"/>
      <c r="L36" s="348"/>
      <c r="M36" s="34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49"/>
      <c r="Y36" s="356"/>
      <c r="Z36" s="307"/>
      <c r="AA36" s="307"/>
      <c r="AB36" s="100"/>
      <c r="AC36" s="100"/>
      <c r="AD36" s="100"/>
      <c r="BB36" s="101"/>
      <c r="BC36" s="101"/>
      <c r="BD36" s="101"/>
      <c r="BE36" s="101"/>
    </row>
    <row r="37" spans="1:57" x14ac:dyDescent="0.2">
      <c r="A37" s="105" t="s">
        <v>20</v>
      </c>
      <c r="B37" s="348"/>
      <c r="C37" s="349"/>
      <c r="D37" s="339"/>
      <c r="E37" s="339"/>
      <c r="F37" s="339"/>
      <c r="G37" s="339"/>
      <c r="H37" s="339"/>
      <c r="I37" s="339"/>
      <c r="J37" s="349"/>
      <c r="K37" s="349"/>
      <c r="L37" s="348"/>
      <c r="M37" s="34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49"/>
      <c r="Y37" s="356"/>
      <c r="Z37" s="307"/>
      <c r="AA37" s="307"/>
      <c r="AB37" s="100"/>
      <c r="AC37" s="100"/>
      <c r="AD37" s="100"/>
      <c r="BB37" s="101"/>
      <c r="BC37" s="101"/>
      <c r="BD37" s="101"/>
      <c r="BE37" s="101"/>
    </row>
    <row r="38" spans="1:57" x14ac:dyDescent="0.2">
      <c r="A38" s="105" t="s">
        <v>21</v>
      </c>
      <c r="B38" s="350">
        <f>0.05*B30</f>
        <v>25.135393211363642</v>
      </c>
      <c r="C38" s="351"/>
      <c r="D38" s="340">
        <f>0.05*D30</f>
        <v>31.95009125</v>
      </c>
      <c r="E38" s="340"/>
      <c r="F38" s="340">
        <f>0.05*F30</f>
        <v>28.188046250000003</v>
      </c>
      <c r="G38" s="340"/>
      <c r="H38" s="340">
        <f>0.05*H30</f>
        <v>12.620514917500001</v>
      </c>
      <c r="I38" s="340"/>
      <c r="J38" s="351">
        <f>0.05*J30</f>
        <v>15.523777500000001</v>
      </c>
      <c r="K38" s="351"/>
      <c r="L38" s="350">
        <f>0.05*L30</f>
        <v>20.257087741477275</v>
      </c>
      <c r="M38" s="351"/>
      <c r="N38" s="340">
        <f>0.05*N30</f>
        <v>26.876788750000003</v>
      </c>
      <c r="O38" s="340"/>
      <c r="P38" s="340">
        <f>0.05*P30</f>
        <v>14.422484772500002</v>
      </c>
      <c r="Q38" s="340"/>
      <c r="R38" s="340">
        <f>0.05*R30</f>
        <v>9.5413268212500011</v>
      </c>
      <c r="S38" s="340"/>
      <c r="T38" s="340">
        <f>0.05*T30</f>
        <v>10.46373768125</v>
      </c>
      <c r="U38" s="340"/>
      <c r="V38" s="340">
        <f>0.05*V30</f>
        <v>13.558465959374999</v>
      </c>
      <c r="W38" s="340"/>
      <c r="X38" s="351">
        <f>0.05*X30</f>
        <v>9.6868274268750021</v>
      </c>
      <c r="Y38" s="360"/>
      <c r="Z38" s="307"/>
      <c r="AA38" s="307"/>
      <c r="AB38" s="100"/>
      <c r="AC38" s="100"/>
      <c r="AD38" s="100"/>
      <c r="BB38" s="101"/>
      <c r="BC38" s="101"/>
      <c r="BD38" s="101"/>
      <c r="BE38" s="101"/>
    </row>
    <row r="39" spans="1:57" x14ac:dyDescent="0.2">
      <c r="A39" s="111" t="s">
        <v>165</v>
      </c>
      <c r="B39" s="352">
        <f>SUM(B35:B38)</f>
        <v>303.13539321136363</v>
      </c>
      <c r="C39" s="353"/>
      <c r="D39" s="341">
        <f>SUM(D35:D38)</f>
        <v>294.66009125000005</v>
      </c>
      <c r="E39" s="341"/>
      <c r="F39" s="341">
        <f>SUM(F35:F38)</f>
        <v>222.99804625000002</v>
      </c>
      <c r="G39" s="341"/>
      <c r="H39" s="341">
        <f>SUM(H35:H38)</f>
        <v>194.93051491750001</v>
      </c>
      <c r="I39" s="341"/>
      <c r="J39" s="353">
        <f>SUM(J35:J38)</f>
        <v>207.69377750000001</v>
      </c>
      <c r="K39" s="353"/>
      <c r="L39" s="352">
        <f>SUM(L35:L38)</f>
        <v>173.25708774147728</v>
      </c>
      <c r="M39" s="353"/>
      <c r="N39" s="341">
        <f>SUM(N35:N38)</f>
        <v>164.58678875000001</v>
      </c>
      <c r="O39" s="341"/>
      <c r="P39" s="341">
        <f>SUM(P35:P38)</f>
        <v>84.232484772500001</v>
      </c>
      <c r="Q39" s="341"/>
      <c r="R39" s="341">
        <f>SUM(R35:R38)</f>
        <v>66.851326821249998</v>
      </c>
      <c r="S39" s="341"/>
      <c r="T39" s="341">
        <f>SUM(T35:T38)</f>
        <v>77.633737681249997</v>
      </c>
      <c r="U39" s="341"/>
      <c r="V39" s="341">
        <f>SUM(V35:V38)</f>
        <v>82.558465959374999</v>
      </c>
      <c r="W39" s="341"/>
      <c r="X39" s="353">
        <f>SUM(X35:X38)</f>
        <v>54.686827426874999</v>
      </c>
      <c r="Y39" s="359"/>
      <c r="Z39" s="307"/>
      <c r="AA39" s="307"/>
      <c r="AB39" s="100"/>
      <c r="AC39" s="100"/>
      <c r="AD39" s="100"/>
      <c r="BB39" s="101"/>
      <c r="BC39" s="101"/>
      <c r="BD39" s="101"/>
      <c r="BE39" s="101"/>
    </row>
    <row r="40" spans="1:57" x14ac:dyDescent="0.2">
      <c r="A40" s="105"/>
      <c r="B40" s="135"/>
      <c r="C40" s="136"/>
      <c r="D40" s="342"/>
      <c r="E40" s="342"/>
      <c r="F40" s="342"/>
      <c r="G40" s="342"/>
      <c r="H40" s="342"/>
      <c r="I40" s="342"/>
      <c r="J40" s="357"/>
      <c r="K40" s="357"/>
      <c r="L40" s="361"/>
      <c r="M40" s="357"/>
      <c r="N40" s="342"/>
      <c r="O40" s="342"/>
      <c r="P40" s="342"/>
      <c r="Q40" s="342"/>
      <c r="R40" s="342"/>
      <c r="S40" s="342"/>
      <c r="T40" s="342"/>
      <c r="U40" s="342"/>
      <c r="V40" s="303"/>
      <c r="W40" s="304"/>
      <c r="X40" s="357"/>
      <c r="Y40" s="358"/>
      <c r="Z40" s="307"/>
      <c r="AA40" s="307"/>
      <c r="AB40" s="100"/>
      <c r="AC40" s="100"/>
      <c r="AD40" s="100"/>
      <c r="BB40" s="101"/>
      <c r="BC40" s="101"/>
      <c r="BD40" s="101"/>
      <c r="BE40" s="101"/>
    </row>
    <row r="41" spans="1:57" ht="13.5" thickBot="1" x14ac:dyDescent="0.25">
      <c r="A41" s="125" t="s">
        <v>166</v>
      </c>
      <c r="B41" s="363">
        <f>B39+B30</f>
        <v>805.84325743863644</v>
      </c>
      <c r="C41" s="362"/>
      <c r="D41" s="343">
        <f>D39+D30</f>
        <v>933.66191624999999</v>
      </c>
      <c r="E41" s="343"/>
      <c r="F41" s="343">
        <f>F39+F30</f>
        <v>786.75897125000006</v>
      </c>
      <c r="G41" s="343"/>
      <c r="H41" s="343">
        <f>H39+H30</f>
        <v>447.34081326750004</v>
      </c>
      <c r="I41" s="343"/>
      <c r="J41" s="362">
        <f>J39+J30</f>
        <v>518.16932750000001</v>
      </c>
      <c r="K41" s="362"/>
      <c r="L41" s="363">
        <f>L39+L30</f>
        <v>578.39884257102267</v>
      </c>
      <c r="M41" s="362"/>
      <c r="N41" s="343">
        <f>N39+N30</f>
        <v>702.12256375000004</v>
      </c>
      <c r="O41" s="343"/>
      <c r="P41" s="343">
        <f>P39+P30</f>
        <v>372.68218022250005</v>
      </c>
      <c r="Q41" s="343"/>
      <c r="R41" s="343">
        <f>R39+R30</f>
        <v>257.67786324625001</v>
      </c>
      <c r="S41" s="343"/>
      <c r="T41" s="343">
        <f>T39+T30</f>
        <v>286.90849130624997</v>
      </c>
      <c r="U41" s="343"/>
      <c r="V41" s="343">
        <f>V39+V30</f>
        <v>353.72778514687496</v>
      </c>
      <c r="W41" s="343"/>
      <c r="X41" s="362">
        <f>X39+X30</f>
        <v>248.42337596437503</v>
      </c>
      <c r="Y41" s="365"/>
      <c r="Z41" s="307"/>
      <c r="AA41" s="307"/>
      <c r="AB41" s="100"/>
      <c r="AC41" s="100"/>
      <c r="AD41" s="100"/>
      <c r="BB41" s="101"/>
      <c r="BC41" s="101"/>
      <c r="BD41" s="101"/>
      <c r="BE41" s="101"/>
    </row>
    <row r="42" spans="1:57" s="167" customFormat="1" ht="13.5" thickBot="1" x14ac:dyDescent="0.25">
      <c r="A42" s="140" t="s">
        <v>167</v>
      </c>
      <c r="B42" s="354">
        <f>B9-B41</f>
        <v>34.156742561363558</v>
      </c>
      <c r="C42" s="355"/>
      <c r="D42" s="347">
        <f>D9-D41</f>
        <v>76.83808375000001</v>
      </c>
      <c r="E42" s="347"/>
      <c r="F42" s="347">
        <f>F9-F41</f>
        <v>43.241028750000055</v>
      </c>
      <c r="G42" s="347"/>
      <c r="H42" s="347">
        <f>H9-H41</f>
        <v>122.65918673249996</v>
      </c>
      <c r="I42" s="347"/>
      <c r="J42" s="355">
        <f>J9-J41</f>
        <v>-143.16932750000001</v>
      </c>
      <c r="K42" s="355"/>
      <c r="L42" s="354">
        <f>L9-L41</f>
        <v>-53.398842571022669</v>
      </c>
      <c r="M42" s="355"/>
      <c r="N42" s="347">
        <f>N9-N41</f>
        <v>28.87743624999996</v>
      </c>
      <c r="O42" s="347"/>
      <c r="P42" s="347">
        <f>P9-P41</f>
        <v>-19.932180222499994</v>
      </c>
      <c r="Q42" s="347"/>
      <c r="R42" s="347">
        <f>R9-R41</f>
        <v>27.322136753749987</v>
      </c>
      <c r="S42" s="347"/>
      <c r="T42" s="347">
        <f>T9-T41</f>
        <v>-43.158491306249971</v>
      </c>
      <c r="U42" s="347"/>
      <c r="V42" s="347">
        <f>V9-V41</f>
        <v>-42.477785146874965</v>
      </c>
      <c r="W42" s="347"/>
      <c r="X42" s="355">
        <f>X9-X41</f>
        <v>-20.173375964374998</v>
      </c>
      <c r="Y42" s="366"/>
      <c r="Z42" s="311"/>
      <c r="AA42" s="311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</row>
    <row r="43" spans="1:57" ht="13.5" thickTop="1" x14ac:dyDescent="0.2">
      <c r="A43" s="105"/>
      <c r="B43" s="141"/>
      <c r="C43" s="142"/>
      <c r="D43" s="344"/>
      <c r="E43" s="344"/>
      <c r="F43" s="334"/>
      <c r="G43" s="335"/>
      <c r="H43" s="334"/>
      <c r="I43" s="335"/>
      <c r="J43" s="142"/>
      <c r="K43" s="142"/>
      <c r="L43" s="345"/>
      <c r="M43" s="346"/>
      <c r="N43" s="344"/>
      <c r="O43" s="344"/>
      <c r="P43" s="344"/>
      <c r="Q43" s="344"/>
      <c r="R43" s="344"/>
      <c r="S43" s="344"/>
      <c r="T43" s="344"/>
      <c r="U43" s="344"/>
      <c r="V43" s="334"/>
      <c r="W43" s="335"/>
      <c r="X43" s="346"/>
      <c r="Y43" s="364"/>
      <c r="Z43" s="307"/>
      <c r="AA43" s="307"/>
      <c r="AB43" s="100"/>
      <c r="AC43" s="100"/>
      <c r="AD43" s="100"/>
      <c r="BB43" s="101"/>
      <c r="BC43" s="101"/>
      <c r="BD43" s="101"/>
      <c r="BE43" s="101"/>
    </row>
    <row r="44" spans="1:57" x14ac:dyDescent="0.2">
      <c r="A44" s="127" t="s">
        <v>34</v>
      </c>
      <c r="B44" s="168">
        <f>B41/B7</f>
        <v>0.67153604786553034</v>
      </c>
      <c r="C44" s="146" t="s">
        <v>159</v>
      </c>
      <c r="D44" s="242">
        <f>D41/D7*2000</f>
        <v>397.30294308510639</v>
      </c>
      <c r="E44" s="244" t="s">
        <v>160</v>
      </c>
      <c r="F44" s="243">
        <f>F41/F7</f>
        <v>3.9337948562500005</v>
      </c>
      <c r="G44" s="244" t="s">
        <v>162</v>
      </c>
      <c r="H44" s="243">
        <f>H41/H7</f>
        <v>7.4556802211250011</v>
      </c>
      <c r="I44" s="244" t="s">
        <v>162</v>
      </c>
      <c r="J44" s="243">
        <f>J41/J7</f>
        <v>5.1816932749999998</v>
      </c>
      <c r="K44" s="129" t="s">
        <v>162</v>
      </c>
      <c r="L44" s="145">
        <f>L41/L7</f>
        <v>0.77119845676136356</v>
      </c>
      <c r="M44" s="146" t="s">
        <v>159</v>
      </c>
      <c r="N44" s="239">
        <f>N41/N7*2000</f>
        <v>413.01327279411765</v>
      </c>
      <c r="O44" s="238" t="s">
        <v>160</v>
      </c>
      <c r="P44" s="240">
        <f>P41/P7</f>
        <v>4.3844962379117653</v>
      </c>
      <c r="Q44" s="238" t="s">
        <v>162</v>
      </c>
      <c r="R44" s="240">
        <f>R41/R7</f>
        <v>8.5892621082083345</v>
      </c>
      <c r="S44" s="238" t="s">
        <v>162</v>
      </c>
      <c r="T44" s="240">
        <f>T41/T7</f>
        <v>4.4139767893269228</v>
      </c>
      <c r="U44" s="238" t="s">
        <v>162</v>
      </c>
      <c r="V44" s="240">
        <f>V41/V7</f>
        <v>4.7163704686249996</v>
      </c>
      <c r="W44" s="238" t="s">
        <v>162</v>
      </c>
      <c r="X44" s="147">
        <f>X41/X7</f>
        <v>4.516788653897728</v>
      </c>
      <c r="Y44" s="132" t="s">
        <v>162</v>
      </c>
      <c r="Z44" s="307"/>
      <c r="AA44" s="307"/>
      <c r="AB44" s="100"/>
      <c r="AC44" s="100"/>
      <c r="AD44" s="100"/>
      <c r="BA44" s="101"/>
      <c r="BB44" s="101"/>
      <c r="BC44" s="101"/>
      <c r="BD44" s="101"/>
      <c r="BE44" s="101"/>
    </row>
    <row r="45" spans="1:57" x14ac:dyDescent="0.2">
      <c r="A45" s="148" t="s">
        <v>168</v>
      </c>
      <c r="B45" s="149">
        <f>B41/B8</f>
        <v>1151.2046534837664</v>
      </c>
      <c r="C45" s="150" t="s">
        <v>158</v>
      </c>
      <c r="D45" s="245">
        <f>D41/D8*2000</f>
        <v>4342.6135639534887</v>
      </c>
      <c r="E45" s="241" t="s">
        <v>158</v>
      </c>
      <c r="F45" s="246">
        <f>F41/F8</f>
        <v>189.58047500000001</v>
      </c>
      <c r="G45" s="238" t="s">
        <v>161</v>
      </c>
      <c r="H45" s="246">
        <f>H41/H8</f>
        <v>47.088506659736844</v>
      </c>
      <c r="I45" s="238" t="s">
        <v>161</v>
      </c>
      <c r="J45" s="246">
        <f>J41/J8</f>
        <v>138.17848733333332</v>
      </c>
      <c r="K45" s="305" t="s">
        <v>161</v>
      </c>
      <c r="L45" s="312">
        <f>L41/L8</f>
        <v>826.28406081574667</v>
      </c>
      <c r="M45" s="150" t="s">
        <v>158</v>
      </c>
      <c r="N45" s="245">
        <f>N41/N8*2000</f>
        <v>3265.6863430232561</v>
      </c>
      <c r="O45" s="241" t="s">
        <v>158</v>
      </c>
      <c r="P45" s="246">
        <f>P41/P8</f>
        <v>89.802934993373498</v>
      </c>
      <c r="Q45" s="238" t="s">
        <v>161</v>
      </c>
      <c r="R45" s="246">
        <f>R41/R8</f>
        <v>27.123985604868423</v>
      </c>
      <c r="S45" s="238" t="s">
        <v>161</v>
      </c>
      <c r="T45" s="246">
        <f>T41/T8</f>
        <v>76.508931014999987</v>
      </c>
      <c r="U45" s="238" t="s">
        <v>161</v>
      </c>
      <c r="V45" s="246">
        <f>V41/V8</f>
        <v>85.235610878765044</v>
      </c>
      <c r="W45" s="238" t="s">
        <v>161</v>
      </c>
      <c r="X45" s="151">
        <f>X41/X8</f>
        <v>59.861054449246986</v>
      </c>
      <c r="Y45" s="132" t="s">
        <v>161</v>
      </c>
      <c r="Z45" s="313"/>
      <c r="AA45" s="313"/>
      <c r="AB45" s="100"/>
      <c r="AC45" s="100"/>
      <c r="AD45" s="100"/>
      <c r="BA45" s="101"/>
      <c r="BB45" s="101"/>
      <c r="BC45" s="101"/>
      <c r="BD45" s="101"/>
      <c r="BE45" s="101"/>
    </row>
    <row r="46" spans="1:57" x14ac:dyDescent="0.2">
      <c r="A46" s="153" t="s">
        <v>175</v>
      </c>
      <c r="B46" s="100"/>
      <c r="C46" s="237" t="s">
        <v>169</v>
      </c>
      <c r="D46" s="169">
        <v>0.42</v>
      </c>
      <c r="E46" s="170" t="s">
        <v>65</v>
      </c>
      <c r="F46" s="169">
        <v>0.39</v>
      </c>
      <c r="G46" s="170" t="s">
        <v>66</v>
      </c>
      <c r="H46" s="234">
        <v>0.28000000000000003</v>
      </c>
      <c r="I46" s="100"/>
      <c r="J46" s="100"/>
      <c r="K46" s="236"/>
      <c r="L46" s="236"/>
      <c r="M46" s="236"/>
      <c r="N46" s="100"/>
      <c r="O46" s="100"/>
      <c r="P46" s="100"/>
      <c r="Q46" s="236"/>
      <c r="R46" s="171"/>
      <c r="S46" s="171"/>
      <c r="T46" s="153"/>
      <c r="U46" s="153"/>
      <c r="V46" s="153"/>
      <c r="W46" s="153"/>
      <c r="X46" s="153"/>
      <c r="Y46" s="153"/>
      <c r="Z46" s="153"/>
      <c r="AA46" s="153"/>
      <c r="AB46" s="172"/>
      <c r="AC46" s="100"/>
      <c r="AD46" s="100"/>
      <c r="BE46" s="101"/>
    </row>
    <row r="47" spans="1:57" x14ac:dyDescent="0.2">
      <c r="A47" s="97" t="s">
        <v>176</v>
      </c>
      <c r="B47" s="247">
        <v>1.9</v>
      </c>
      <c r="C47" s="338" t="s">
        <v>67</v>
      </c>
      <c r="D47" s="338"/>
      <c r="E47" s="338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173"/>
      <c r="AC47" s="100"/>
      <c r="AD47" s="100"/>
      <c r="BE47" s="101"/>
    </row>
    <row r="48" spans="1:57" x14ac:dyDescent="0.2">
      <c r="A48" s="338" t="s">
        <v>191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174"/>
      <c r="AD48" s="100"/>
    </row>
    <row r="49" spans="1:1" s="100" customFormat="1" x14ac:dyDescent="0.2">
      <c r="A49" s="95"/>
    </row>
    <row r="50" spans="1:1" s="100" customFormat="1" x14ac:dyDescent="0.2">
      <c r="A50" s="105"/>
    </row>
    <row r="51" spans="1:1" s="100" customFormat="1" x14ac:dyDescent="0.2">
      <c r="A51" s="105"/>
    </row>
    <row r="52" spans="1:1" s="100" customFormat="1" x14ac:dyDescent="0.2">
      <c r="A52" s="105"/>
    </row>
    <row r="53" spans="1:1" s="100" customFormat="1" x14ac:dyDescent="0.2">
      <c r="A53" s="105"/>
    </row>
    <row r="54" spans="1:1" s="100" customFormat="1" x14ac:dyDescent="0.2">
      <c r="A54" s="95"/>
    </row>
    <row r="55" spans="1:1" s="100" customFormat="1" x14ac:dyDescent="0.2">
      <c r="A55" s="95"/>
    </row>
    <row r="56" spans="1:1" s="100" customFormat="1" x14ac:dyDescent="0.2">
      <c r="A56" s="95"/>
    </row>
    <row r="57" spans="1:1" s="100" customFormat="1" x14ac:dyDescent="0.2">
      <c r="A57" s="95"/>
    </row>
    <row r="58" spans="1:1" s="100" customFormat="1" x14ac:dyDescent="0.2">
      <c r="A58" s="95"/>
    </row>
    <row r="59" spans="1:1" s="100" customFormat="1" x14ac:dyDescent="0.2">
      <c r="A59" s="95"/>
    </row>
    <row r="60" spans="1:1" s="100" customFormat="1" x14ac:dyDescent="0.2">
      <c r="A60" s="95"/>
    </row>
    <row r="61" spans="1:1" s="100" customFormat="1" x14ac:dyDescent="0.2">
      <c r="A61" s="95"/>
    </row>
    <row r="62" spans="1:1" s="100" customFormat="1" x14ac:dyDescent="0.2">
      <c r="A62" s="95"/>
    </row>
    <row r="63" spans="1:1" s="100" customFormat="1" x14ac:dyDescent="0.2">
      <c r="A63" s="95"/>
    </row>
    <row r="64" spans="1:1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  <row r="219" spans="1:1" s="100" customFormat="1" x14ac:dyDescent="0.2">
      <c r="A219" s="95"/>
    </row>
    <row r="220" spans="1:1" s="100" customFormat="1" x14ac:dyDescent="0.2">
      <c r="A220" s="95"/>
    </row>
    <row r="221" spans="1:1" s="100" customFormat="1" x14ac:dyDescent="0.2">
      <c r="A221" s="95"/>
    </row>
    <row r="222" spans="1:1" s="100" customFormat="1" x14ac:dyDescent="0.2">
      <c r="A222" s="95"/>
    </row>
    <row r="223" spans="1:1" s="100" customFormat="1" x14ac:dyDescent="0.2">
      <c r="A223" s="95"/>
    </row>
    <row r="224" spans="1:1" s="100" customFormat="1" x14ac:dyDescent="0.2">
      <c r="A224" s="95"/>
    </row>
    <row r="225" spans="1:1" s="100" customFormat="1" x14ac:dyDescent="0.2">
      <c r="A225" s="95"/>
    </row>
    <row r="226" spans="1:1" s="100" customFormat="1" x14ac:dyDescent="0.2">
      <c r="A226" s="95"/>
    </row>
    <row r="227" spans="1:1" s="100" customFormat="1" x14ac:dyDescent="0.2">
      <c r="A227" s="95"/>
    </row>
    <row r="228" spans="1:1" s="100" customFormat="1" x14ac:dyDescent="0.2">
      <c r="A228" s="95"/>
    </row>
    <row r="229" spans="1:1" s="100" customFormat="1" x14ac:dyDescent="0.2">
      <c r="A229" s="95"/>
    </row>
    <row r="230" spans="1:1" s="100" customFormat="1" x14ac:dyDescent="0.2">
      <c r="A230" s="95"/>
    </row>
    <row r="231" spans="1:1" s="100" customFormat="1" x14ac:dyDescent="0.2">
      <c r="A231" s="95"/>
    </row>
    <row r="232" spans="1:1" s="100" customFormat="1" x14ac:dyDescent="0.2">
      <c r="A232" s="95"/>
    </row>
    <row r="233" spans="1:1" s="100" customFormat="1" x14ac:dyDescent="0.2">
      <c r="A233" s="95"/>
    </row>
    <row r="234" spans="1:1" s="100" customFormat="1" x14ac:dyDescent="0.2">
      <c r="A234" s="95"/>
    </row>
    <row r="235" spans="1:1" s="100" customFormat="1" x14ac:dyDescent="0.2">
      <c r="A235" s="95"/>
    </row>
    <row r="236" spans="1:1" s="100" customFormat="1" x14ac:dyDescent="0.2">
      <c r="A236" s="95"/>
    </row>
    <row r="237" spans="1:1" s="100" customFormat="1" x14ac:dyDescent="0.2">
      <c r="A237" s="95"/>
    </row>
    <row r="238" spans="1:1" s="100" customFormat="1" x14ac:dyDescent="0.2">
      <c r="A238" s="95"/>
    </row>
    <row r="239" spans="1:1" s="100" customFormat="1" x14ac:dyDescent="0.2">
      <c r="A239" s="95"/>
    </row>
    <row r="240" spans="1:1" s="100" customFormat="1" x14ac:dyDescent="0.2">
      <c r="A240" s="95"/>
    </row>
    <row r="241" spans="1:1" s="100" customFormat="1" x14ac:dyDescent="0.2">
      <c r="A241" s="95"/>
    </row>
    <row r="242" spans="1:1" s="100" customFormat="1" x14ac:dyDescent="0.2">
      <c r="A242" s="95"/>
    </row>
    <row r="243" spans="1:1" s="100" customFormat="1" x14ac:dyDescent="0.2">
      <c r="A243" s="95"/>
    </row>
    <row r="244" spans="1:1" s="100" customFormat="1" x14ac:dyDescent="0.2">
      <c r="A244" s="95"/>
    </row>
    <row r="245" spans="1:1" s="100" customFormat="1" x14ac:dyDescent="0.2">
      <c r="A245" s="95"/>
    </row>
    <row r="246" spans="1:1" s="100" customFormat="1" x14ac:dyDescent="0.2">
      <c r="A246" s="95"/>
    </row>
    <row r="247" spans="1:1" s="100" customFormat="1" x14ac:dyDescent="0.2">
      <c r="A247" s="95"/>
    </row>
    <row r="248" spans="1:1" s="100" customFormat="1" x14ac:dyDescent="0.2">
      <c r="A248" s="95"/>
    </row>
    <row r="249" spans="1:1" s="100" customFormat="1" x14ac:dyDescent="0.2">
      <c r="A249" s="95"/>
    </row>
    <row r="250" spans="1:1" s="100" customFormat="1" x14ac:dyDescent="0.2">
      <c r="A250" s="95"/>
    </row>
    <row r="251" spans="1:1" s="100" customFormat="1" x14ac:dyDescent="0.2">
      <c r="A251" s="95"/>
    </row>
    <row r="252" spans="1:1" s="100" customFormat="1" x14ac:dyDescent="0.2">
      <c r="A252" s="95"/>
    </row>
    <row r="253" spans="1:1" s="100" customFormat="1" x14ac:dyDescent="0.2">
      <c r="A253" s="95"/>
    </row>
    <row r="254" spans="1:1" s="100" customFormat="1" x14ac:dyDescent="0.2">
      <c r="A254" s="95"/>
    </row>
    <row r="255" spans="1:1" s="100" customFormat="1" x14ac:dyDescent="0.2">
      <c r="A255" s="95"/>
    </row>
    <row r="256" spans="1:1" s="100" customFormat="1" x14ac:dyDescent="0.2">
      <c r="A256" s="95"/>
    </row>
    <row r="257" spans="1:1" s="100" customFormat="1" x14ac:dyDescent="0.2">
      <c r="A257" s="95"/>
    </row>
    <row r="258" spans="1:1" s="100" customFormat="1" x14ac:dyDescent="0.2">
      <c r="A258" s="95"/>
    </row>
    <row r="259" spans="1:1" s="100" customFormat="1" x14ac:dyDescent="0.2">
      <c r="A259" s="95"/>
    </row>
    <row r="260" spans="1:1" s="100" customFormat="1" x14ac:dyDescent="0.2">
      <c r="A260" s="95"/>
    </row>
    <row r="261" spans="1:1" s="100" customFormat="1" x14ac:dyDescent="0.2">
      <c r="A261" s="95"/>
    </row>
    <row r="262" spans="1:1" s="100" customFormat="1" x14ac:dyDescent="0.2">
      <c r="A262" s="95"/>
    </row>
    <row r="263" spans="1:1" s="100" customFormat="1" x14ac:dyDescent="0.2">
      <c r="A263" s="95"/>
    </row>
    <row r="264" spans="1:1" s="100" customFormat="1" x14ac:dyDescent="0.2">
      <c r="A264" s="95"/>
    </row>
    <row r="265" spans="1:1" s="100" customFormat="1" x14ac:dyDescent="0.2">
      <c r="A265" s="95"/>
    </row>
    <row r="266" spans="1:1" s="100" customFormat="1" x14ac:dyDescent="0.2">
      <c r="A266" s="95"/>
    </row>
    <row r="267" spans="1:1" s="100" customFormat="1" x14ac:dyDescent="0.2">
      <c r="A267" s="95"/>
    </row>
    <row r="268" spans="1:1" s="100" customFormat="1" x14ac:dyDescent="0.2">
      <c r="A268" s="95"/>
    </row>
    <row r="269" spans="1:1" s="100" customFormat="1" x14ac:dyDescent="0.2">
      <c r="A269" s="95"/>
    </row>
    <row r="270" spans="1:1" s="100" customFormat="1" x14ac:dyDescent="0.2">
      <c r="A270" s="95"/>
    </row>
    <row r="271" spans="1:1" s="100" customFormat="1" x14ac:dyDescent="0.2">
      <c r="A271" s="95"/>
    </row>
    <row r="272" spans="1:1" s="100" customFormat="1" x14ac:dyDescent="0.2">
      <c r="A272" s="95"/>
    </row>
    <row r="273" spans="1:1" s="100" customFormat="1" x14ac:dyDescent="0.2">
      <c r="A273" s="95"/>
    </row>
    <row r="274" spans="1:1" s="100" customFormat="1" x14ac:dyDescent="0.2">
      <c r="A274" s="95"/>
    </row>
    <row r="275" spans="1:1" s="100" customFormat="1" x14ac:dyDescent="0.2">
      <c r="A275" s="95"/>
    </row>
    <row r="276" spans="1:1" s="100" customFormat="1" x14ac:dyDescent="0.2">
      <c r="A276" s="95"/>
    </row>
    <row r="277" spans="1:1" s="100" customFormat="1" x14ac:dyDescent="0.2">
      <c r="A277" s="95"/>
    </row>
    <row r="278" spans="1:1" s="100" customFormat="1" x14ac:dyDescent="0.2">
      <c r="A278" s="95"/>
    </row>
    <row r="279" spans="1:1" s="100" customFormat="1" x14ac:dyDescent="0.2">
      <c r="A279" s="95"/>
    </row>
    <row r="280" spans="1:1" s="100" customFormat="1" x14ac:dyDescent="0.2">
      <c r="A280" s="95"/>
    </row>
    <row r="281" spans="1:1" s="100" customFormat="1" x14ac:dyDescent="0.2">
      <c r="A281" s="95"/>
    </row>
    <row r="282" spans="1:1" s="100" customFormat="1" x14ac:dyDescent="0.2">
      <c r="A282" s="95"/>
    </row>
    <row r="283" spans="1:1" s="100" customFormat="1" x14ac:dyDescent="0.2">
      <c r="A283" s="95"/>
    </row>
    <row r="284" spans="1:1" s="100" customFormat="1" x14ac:dyDescent="0.2">
      <c r="A284" s="95"/>
    </row>
    <row r="285" spans="1:1" s="100" customFormat="1" x14ac:dyDescent="0.2">
      <c r="A285" s="95"/>
    </row>
    <row r="286" spans="1:1" s="100" customFormat="1" x14ac:dyDescent="0.2">
      <c r="A286" s="95"/>
    </row>
    <row r="287" spans="1:1" s="100" customFormat="1" x14ac:dyDescent="0.2">
      <c r="A287" s="95"/>
    </row>
    <row r="288" spans="1:1" s="100" customFormat="1" x14ac:dyDescent="0.2">
      <c r="A288" s="95"/>
    </row>
    <row r="289" spans="1:1" s="100" customFormat="1" x14ac:dyDescent="0.2">
      <c r="A289" s="95"/>
    </row>
    <row r="290" spans="1:1" s="100" customFormat="1" x14ac:dyDescent="0.2">
      <c r="A290" s="95"/>
    </row>
    <row r="291" spans="1:1" s="100" customFormat="1" x14ac:dyDescent="0.2">
      <c r="A291" s="95"/>
    </row>
    <row r="292" spans="1:1" s="100" customFormat="1" x14ac:dyDescent="0.2">
      <c r="A292" s="95"/>
    </row>
    <row r="293" spans="1:1" s="100" customFormat="1" x14ac:dyDescent="0.2">
      <c r="A293" s="95"/>
    </row>
    <row r="294" spans="1:1" s="100" customFormat="1" x14ac:dyDescent="0.2">
      <c r="A294" s="95"/>
    </row>
    <row r="295" spans="1:1" s="100" customFormat="1" x14ac:dyDescent="0.2">
      <c r="A295" s="95"/>
    </row>
    <row r="296" spans="1:1" s="100" customFormat="1" x14ac:dyDescent="0.2">
      <c r="A296" s="95"/>
    </row>
    <row r="297" spans="1:1" s="100" customFormat="1" x14ac:dyDescent="0.2">
      <c r="A297" s="95"/>
    </row>
    <row r="298" spans="1:1" s="100" customFormat="1" x14ac:dyDescent="0.2">
      <c r="A298" s="95"/>
    </row>
    <row r="299" spans="1:1" s="100" customFormat="1" x14ac:dyDescent="0.2">
      <c r="A299" s="95"/>
    </row>
    <row r="300" spans="1:1" s="100" customFormat="1" x14ac:dyDescent="0.2">
      <c r="A300" s="95"/>
    </row>
    <row r="301" spans="1:1" s="100" customFormat="1" x14ac:dyDescent="0.2">
      <c r="A301" s="95"/>
    </row>
    <row r="302" spans="1:1" s="100" customFormat="1" x14ac:dyDescent="0.2">
      <c r="A302" s="95"/>
    </row>
    <row r="303" spans="1:1" s="100" customFormat="1" x14ac:dyDescent="0.2">
      <c r="A303" s="95"/>
    </row>
    <row r="304" spans="1:1" s="100" customFormat="1" x14ac:dyDescent="0.2">
      <c r="A304" s="95"/>
    </row>
    <row r="305" spans="1:1" s="100" customFormat="1" x14ac:dyDescent="0.2">
      <c r="A305" s="95"/>
    </row>
    <row r="306" spans="1:1" s="100" customFormat="1" x14ac:dyDescent="0.2">
      <c r="A306" s="95"/>
    </row>
    <row r="307" spans="1:1" s="100" customFormat="1" x14ac:dyDescent="0.2">
      <c r="A307" s="95"/>
    </row>
    <row r="308" spans="1:1" s="100" customFormat="1" x14ac:dyDescent="0.2">
      <c r="A308" s="95"/>
    </row>
    <row r="309" spans="1:1" s="100" customFormat="1" x14ac:dyDescent="0.2">
      <c r="A309" s="95"/>
    </row>
    <row r="310" spans="1:1" s="100" customFormat="1" x14ac:dyDescent="0.2">
      <c r="A310" s="95"/>
    </row>
    <row r="311" spans="1:1" s="100" customFormat="1" x14ac:dyDescent="0.2">
      <c r="A311" s="95"/>
    </row>
    <row r="312" spans="1:1" s="100" customFormat="1" x14ac:dyDescent="0.2">
      <c r="A312" s="95"/>
    </row>
    <row r="313" spans="1:1" s="100" customFormat="1" x14ac:dyDescent="0.2">
      <c r="A313" s="95"/>
    </row>
    <row r="314" spans="1:1" s="100" customFormat="1" x14ac:dyDescent="0.2">
      <c r="A314" s="95"/>
    </row>
    <row r="315" spans="1:1" s="100" customFormat="1" x14ac:dyDescent="0.2">
      <c r="A315" s="95"/>
    </row>
    <row r="316" spans="1:1" s="100" customFormat="1" x14ac:dyDescent="0.2">
      <c r="A316" s="95"/>
    </row>
    <row r="317" spans="1:1" s="100" customFormat="1" x14ac:dyDescent="0.2">
      <c r="A317" s="95"/>
    </row>
    <row r="318" spans="1:1" s="100" customFormat="1" x14ac:dyDescent="0.2">
      <c r="A318" s="95"/>
    </row>
    <row r="319" spans="1:1" s="100" customFormat="1" x14ac:dyDescent="0.2">
      <c r="A319" s="95"/>
    </row>
    <row r="320" spans="1:1" s="100" customFormat="1" x14ac:dyDescent="0.2">
      <c r="A320" s="95"/>
    </row>
    <row r="321" spans="1:1" s="100" customFormat="1" x14ac:dyDescent="0.2">
      <c r="A321" s="95"/>
    </row>
    <row r="322" spans="1:1" s="100" customFormat="1" x14ac:dyDescent="0.2">
      <c r="A322" s="95"/>
    </row>
    <row r="323" spans="1:1" s="100" customFormat="1" x14ac:dyDescent="0.2">
      <c r="A323" s="95"/>
    </row>
    <row r="324" spans="1:1" s="100" customFormat="1" x14ac:dyDescent="0.2">
      <c r="A324" s="95"/>
    </row>
    <row r="325" spans="1:1" s="100" customFormat="1" x14ac:dyDescent="0.2">
      <c r="A325" s="95"/>
    </row>
    <row r="326" spans="1:1" s="100" customFormat="1" x14ac:dyDescent="0.2">
      <c r="A326" s="95"/>
    </row>
    <row r="327" spans="1:1" s="100" customFormat="1" x14ac:dyDescent="0.2">
      <c r="A327" s="95"/>
    </row>
    <row r="328" spans="1:1" s="100" customFormat="1" x14ac:dyDescent="0.2">
      <c r="A328" s="95"/>
    </row>
    <row r="329" spans="1:1" s="100" customFormat="1" x14ac:dyDescent="0.2">
      <c r="A329" s="95"/>
    </row>
    <row r="330" spans="1:1" s="100" customFormat="1" x14ac:dyDescent="0.2">
      <c r="A330" s="95"/>
    </row>
    <row r="331" spans="1:1" s="100" customFormat="1" x14ac:dyDescent="0.2">
      <c r="A331" s="95"/>
    </row>
    <row r="332" spans="1:1" s="100" customFormat="1" x14ac:dyDescent="0.2">
      <c r="A332" s="95"/>
    </row>
    <row r="333" spans="1:1" s="100" customFormat="1" x14ac:dyDescent="0.2">
      <c r="A333" s="95"/>
    </row>
    <row r="334" spans="1:1" s="100" customFormat="1" x14ac:dyDescent="0.2">
      <c r="A334" s="95"/>
    </row>
    <row r="335" spans="1:1" s="100" customFormat="1" x14ac:dyDescent="0.2">
      <c r="A335" s="95"/>
    </row>
    <row r="336" spans="1:1" s="100" customFormat="1" x14ac:dyDescent="0.2">
      <c r="A336" s="95"/>
    </row>
    <row r="337" spans="1:1" s="100" customFormat="1" x14ac:dyDescent="0.2">
      <c r="A337" s="95"/>
    </row>
    <row r="338" spans="1:1" s="100" customFormat="1" x14ac:dyDescent="0.2">
      <c r="A338" s="95"/>
    </row>
    <row r="339" spans="1:1" s="100" customFormat="1" x14ac:dyDescent="0.2">
      <c r="A339" s="95"/>
    </row>
    <row r="340" spans="1:1" s="100" customFormat="1" x14ac:dyDescent="0.2">
      <c r="A340" s="95"/>
    </row>
    <row r="341" spans="1:1" s="100" customFormat="1" x14ac:dyDescent="0.2">
      <c r="A341" s="95"/>
    </row>
    <row r="342" spans="1:1" s="100" customFormat="1" x14ac:dyDescent="0.2">
      <c r="A342" s="95"/>
    </row>
    <row r="343" spans="1:1" s="100" customFormat="1" x14ac:dyDescent="0.2">
      <c r="A343" s="95"/>
    </row>
    <row r="344" spans="1:1" s="100" customFormat="1" x14ac:dyDescent="0.2">
      <c r="A344" s="95"/>
    </row>
    <row r="345" spans="1:1" s="100" customFormat="1" x14ac:dyDescent="0.2">
      <c r="A345" s="95"/>
    </row>
    <row r="346" spans="1:1" s="100" customFormat="1" x14ac:dyDescent="0.2">
      <c r="A346" s="95"/>
    </row>
    <row r="347" spans="1:1" s="100" customFormat="1" x14ac:dyDescent="0.2">
      <c r="A347" s="95"/>
    </row>
    <row r="348" spans="1:1" s="100" customFormat="1" x14ac:dyDescent="0.2">
      <c r="A348" s="95"/>
    </row>
    <row r="349" spans="1:1" s="100" customFormat="1" x14ac:dyDescent="0.2">
      <c r="A349" s="95"/>
    </row>
    <row r="350" spans="1:1" s="100" customFormat="1" x14ac:dyDescent="0.2">
      <c r="A350" s="95"/>
    </row>
    <row r="351" spans="1:1" s="100" customFormat="1" x14ac:dyDescent="0.2">
      <c r="A351" s="95"/>
    </row>
    <row r="352" spans="1:1" s="100" customFormat="1" x14ac:dyDescent="0.2">
      <c r="A352" s="95"/>
    </row>
    <row r="353" spans="1:1" s="100" customFormat="1" x14ac:dyDescent="0.2">
      <c r="A353" s="95"/>
    </row>
    <row r="354" spans="1:1" s="100" customFormat="1" x14ac:dyDescent="0.2">
      <c r="A354" s="95"/>
    </row>
    <row r="355" spans="1:1" s="100" customFormat="1" x14ac:dyDescent="0.2">
      <c r="A355" s="95"/>
    </row>
    <row r="356" spans="1:1" s="100" customFormat="1" x14ac:dyDescent="0.2">
      <c r="A356" s="95"/>
    </row>
    <row r="357" spans="1:1" s="100" customFormat="1" x14ac:dyDescent="0.2">
      <c r="A357" s="95"/>
    </row>
    <row r="358" spans="1:1" s="100" customFormat="1" x14ac:dyDescent="0.2">
      <c r="A358" s="95"/>
    </row>
    <row r="359" spans="1:1" s="100" customFormat="1" x14ac:dyDescent="0.2">
      <c r="A359" s="95"/>
    </row>
    <row r="360" spans="1:1" s="100" customFormat="1" x14ac:dyDescent="0.2">
      <c r="A360" s="95"/>
    </row>
    <row r="361" spans="1:1" s="100" customFormat="1" x14ac:dyDescent="0.2">
      <c r="A361" s="95"/>
    </row>
    <row r="362" spans="1:1" s="100" customFormat="1" x14ac:dyDescent="0.2">
      <c r="A362" s="95"/>
    </row>
    <row r="363" spans="1:1" s="100" customFormat="1" x14ac:dyDescent="0.2">
      <c r="A363" s="95"/>
    </row>
    <row r="364" spans="1:1" s="100" customFormat="1" x14ac:dyDescent="0.2">
      <c r="A364" s="95"/>
    </row>
    <row r="365" spans="1:1" s="100" customFormat="1" x14ac:dyDescent="0.2">
      <c r="A365" s="95"/>
    </row>
    <row r="366" spans="1:1" s="100" customFormat="1" x14ac:dyDescent="0.2">
      <c r="A366" s="95"/>
    </row>
    <row r="367" spans="1:1" s="100" customFormat="1" x14ac:dyDescent="0.2">
      <c r="A367" s="95"/>
    </row>
    <row r="368" spans="1:1" s="100" customFormat="1" x14ac:dyDescent="0.2">
      <c r="A368" s="95"/>
    </row>
    <row r="369" spans="1:1" s="100" customFormat="1" x14ac:dyDescent="0.2">
      <c r="A369" s="95"/>
    </row>
    <row r="370" spans="1:1" s="100" customFormat="1" x14ac:dyDescent="0.2">
      <c r="A370" s="95"/>
    </row>
    <row r="371" spans="1:1" s="100" customFormat="1" x14ac:dyDescent="0.2">
      <c r="A371" s="95"/>
    </row>
    <row r="372" spans="1:1" s="100" customFormat="1" x14ac:dyDescent="0.2">
      <c r="A372" s="95"/>
    </row>
    <row r="373" spans="1:1" s="100" customFormat="1" x14ac:dyDescent="0.2">
      <c r="A373" s="95"/>
    </row>
    <row r="374" spans="1:1" s="100" customFormat="1" x14ac:dyDescent="0.2">
      <c r="A374" s="95"/>
    </row>
    <row r="375" spans="1:1" s="100" customFormat="1" x14ac:dyDescent="0.2">
      <c r="A375" s="95"/>
    </row>
    <row r="376" spans="1:1" s="100" customFormat="1" x14ac:dyDescent="0.2">
      <c r="A376" s="95"/>
    </row>
    <row r="377" spans="1:1" s="100" customFormat="1" x14ac:dyDescent="0.2">
      <c r="A377" s="95"/>
    </row>
    <row r="378" spans="1:1" s="100" customFormat="1" x14ac:dyDescent="0.2">
      <c r="A378" s="95"/>
    </row>
    <row r="379" spans="1:1" s="100" customFormat="1" x14ac:dyDescent="0.2">
      <c r="A379" s="95"/>
    </row>
    <row r="380" spans="1:1" s="100" customFormat="1" x14ac:dyDescent="0.2">
      <c r="A380" s="95"/>
    </row>
    <row r="381" spans="1:1" s="100" customFormat="1" x14ac:dyDescent="0.2">
      <c r="A381" s="95"/>
    </row>
    <row r="382" spans="1:1" s="100" customFormat="1" x14ac:dyDescent="0.2">
      <c r="A382" s="95"/>
    </row>
    <row r="383" spans="1:1" s="100" customFormat="1" x14ac:dyDescent="0.2">
      <c r="A383" s="95"/>
    </row>
    <row r="384" spans="1:1" s="100" customFormat="1" x14ac:dyDescent="0.2">
      <c r="A384" s="95"/>
    </row>
    <row r="385" spans="1:1" s="100" customFormat="1" x14ac:dyDescent="0.2">
      <c r="A385" s="95"/>
    </row>
    <row r="386" spans="1:1" s="100" customFormat="1" x14ac:dyDescent="0.2">
      <c r="A386" s="95"/>
    </row>
    <row r="387" spans="1:1" s="100" customFormat="1" x14ac:dyDescent="0.2">
      <c r="A387" s="95"/>
    </row>
    <row r="388" spans="1:1" s="100" customFormat="1" x14ac:dyDescent="0.2">
      <c r="A388" s="95"/>
    </row>
    <row r="389" spans="1:1" s="100" customFormat="1" x14ac:dyDescent="0.2">
      <c r="A389" s="95"/>
    </row>
    <row r="390" spans="1:1" s="100" customFormat="1" x14ac:dyDescent="0.2">
      <c r="A390" s="95"/>
    </row>
    <row r="391" spans="1:1" s="100" customFormat="1" x14ac:dyDescent="0.2">
      <c r="A391" s="95"/>
    </row>
    <row r="392" spans="1:1" s="100" customFormat="1" x14ac:dyDescent="0.2">
      <c r="A392" s="95"/>
    </row>
    <row r="393" spans="1:1" s="100" customFormat="1" x14ac:dyDescent="0.2">
      <c r="A393" s="95"/>
    </row>
    <row r="394" spans="1:1" s="100" customFormat="1" x14ac:dyDescent="0.2">
      <c r="A394" s="95"/>
    </row>
    <row r="395" spans="1:1" s="100" customFormat="1" x14ac:dyDescent="0.2">
      <c r="A395" s="95"/>
    </row>
    <row r="396" spans="1:1" s="100" customFormat="1" x14ac:dyDescent="0.2">
      <c r="A396" s="95"/>
    </row>
    <row r="397" spans="1:1" s="100" customFormat="1" x14ac:dyDescent="0.2">
      <c r="A397" s="95"/>
    </row>
    <row r="398" spans="1:1" s="100" customFormat="1" x14ac:dyDescent="0.2">
      <c r="A398" s="95"/>
    </row>
    <row r="399" spans="1:1" s="100" customFormat="1" x14ac:dyDescent="0.2">
      <c r="A399" s="95"/>
    </row>
    <row r="400" spans="1:1" s="100" customFormat="1" x14ac:dyDescent="0.2">
      <c r="A400" s="95"/>
    </row>
    <row r="401" spans="1:1" s="100" customFormat="1" x14ac:dyDescent="0.2">
      <c r="A401" s="95"/>
    </row>
    <row r="402" spans="1:1" s="100" customFormat="1" x14ac:dyDescent="0.2">
      <c r="A402" s="95"/>
    </row>
    <row r="403" spans="1:1" s="100" customFormat="1" x14ac:dyDescent="0.2">
      <c r="A403" s="95"/>
    </row>
    <row r="404" spans="1:1" s="100" customFormat="1" x14ac:dyDescent="0.2">
      <c r="A404" s="95"/>
    </row>
    <row r="405" spans="1:1" s="100" customFormat="1" x14ac:dyDescent="0.2">
      <c r="A405" s="95"/>
    </row>
    <row r="406" spans="1:1" s="100" customFormat="1" x14ac:dyDescent="0.2">
      <c r="A406" s="95"/>
    </row>
    <row r="407" spans="1:1" s="100" customFormat="1" x14ac:dyDescent="0.2">
      <c r="A407" s="95"/>
    </row>
    <row r="408" spans="1:1" s="100" customFormat="1" x14ac:dyDescent="0.2">
      <c r="A408" s="95"/>
    </row>
    <row r="409" spans="1:1" s="100" customFormat="1" x14ac:dyDescent="0.2">
      <c r="A409" s="95"/>
    </row>
    <row r="410" spans="1:1" s="100" customFormat="1" x14ac:dyDescent="0.2">
      <c r="A410" s="95"/>
    </row>
    <row r="411" spans="1:1" s="100" customFormat="1" x14ac:dyDescent="0.2">
      <c r="A411" s="95"/>
    </row>
    <row r="412" spans="1:1" s="100" customFormat="1" x14ac:dyDescent="0.2">
      <c r="A412" s="95"/>
    </row>
    <row r="413" spans="1:1" s="100" customFormat="1" x14ac:dyDescent="0.2">
      <c r="A413" s="95"/>
    </row>
    <row r="414" spans="1:1" s="100" customFormat="1" x14ac:dyDescent="0.2">
      <c r="A414" s="95"/>
    </row>
    <row r="415" spans="1:1" s="100" customFormat="1" x14ac:dyDescent="0.2">
      <c r="A415" s="95"/>
    </row>
    <row r="416" spans="1:1" s="100" customFormat="1" x14ac:dyDescent="0.2">
      <c r="A416" s="95"/>
    </row>
    <row r="417" spans="1:1" s="100" customFormat="1" x14ac:dyDescent="0.2">
      <c r="A417" s="95"/>
    </row>
    <row r="418" spans="1:1" s="100" customFormat="1" x14ac:dyDescent="0.2">
      <c r="A418" s="95"/>
    </row>
    <row r="419" spans="1:1" s="100" customFormat="1" x14ac:dyDescent="0.2">
      <c r="A419" s="95"/>
    </row>
    <row r="420" spans="1:1" s="100" customFormat="1" x14ac:dyDescent="0.2">
      <c r="A420" s="95"/>
    </row>
    <row r="421" spans="1:1" s="100" customFormat="1" x14ac:dyDescent="0.2">
      <c r="A421" s="95"/>
    </row>
    <row r="422" spans="1:1" s="100" customFormat="1" x14ac:dyDescent="0.2">
      <c r="A422" s="95"/>
    </row>
  </sheetData>
  <sheetProtection sheet="1" objects="1" scenarios="1"/>
  <mergeCells count="415">
    <mergeCell ref="B4:K4"/>
    <mergeCell ref="L4:Y4"/>
    <mergeCell ref="D41:E41"/>
    <mergeCell ref="D43:E43"/>
    <mergeCell ref="V34:W34"/>
    <mergeCell ref="J34:K34"/>
    <mergeCell ref="F6:G6"/>
    <mergeCell ref="D6:E6"/>
    <mergeCell ref="B6:C6"/>
    <mergeCell ref="D5:E5"/>
    <mergeCell ref="B5:C5"/>
    <mergeCell ref="F5:G5"/>
    <mergeCell ref="V36:W36"/>
    <mergeCell ref="D23:E23"/>
    <mergeCell ref="D24:E24"/>
    <mergeCell ref="D25:E25"/>
    <mergeCell ref="D26:E26"/>
    <mergeCell ref="D34:E34"/>
    <mergeCell ref="D13:E13"/>
    <mergeCell ref="J30:K30"/>
    <mergeCell ref="J28:K28"/>
    <mergeCell ref="H28:I28"/>
    <mergeCell ref="F28:G28"/>
    <mergeCell ref="F29:G29"/>
    <mergeCell ref="J36:K36"/>
    <mergeCell ref="A48:AB48"/>
    <mergeCell ref="B25:C25"/>
    <mergeCell ref="B15:C15"/>
    <mergeCell ref="B17:C17"/>
    <mergeCell ref="B18:C18"/>
    <mergeCell ref="B19:C19"/>
    <mergeCell ref="B20:C20"/>
    <mergeCell ref="D37:E37"/>
    <mergeCell ref="D38:E38"/>
    <mergeCell ref="D39:E39"/>
    <mergeCell ref="D30:E30"/>
    <mergeCell ref="D31:E31"/>
    <mergeCell ref="D35:E35"/>
    <mergeCell ref="D27:E27"/>
    <mergeCell ref="D28:E28"/>
    <mergeCell ref="D29:E29"/>
    <mergeCell ref="D20:E20"/>
    <mergeCell ref="D36:E36"/>
    <mergeCell ref="V35:W35"/>
    <mergeCell ref="F35:G35"/>
    <mergeCell ref="F36:G36"/>
    <mergeCell ref="F37:G37"/>
    <mergeCell ref="H36:I36"/>
    <mergeCell ref="H37:I37"/>
    <mergeCell ref="N5:O5"/>
    <mergeCell ref="L5:M5"/>
    <mergeCell ref="R5:S5"/>
    <mergeCell ref="X5:Y5"/>
    <mergeCell ref="H5:I5"/>
    <mergeCell ref="R6:S6"/>
    <mergeCell ref="T5:U5"/>
    <mergeCell ref="T6:U6"/>
    <mergeCell ref="X6:Y6"/>
    <mergeCell ref="P5:Q5"/>
    <mergeCell ref="L6:M6"/>
    <mergeCell ref="N6:O6"/>
    <mergeCell ref="P6:Q6"/>
    <mergeCell ref="V5:W5"/>
    <mergeCell ref="V6:W6"/>
    <mergeCell ref="J5:K5"/>
    <mergeCell ref="J6:K6"/>
    <mergeCell ref="H6:I6"/>
    <mergeCell ref="V37:W37"/>
    <mergeCell ref="L29:M29"/>
    <mergeCell ref="H15:I15"/>
    <mergeCell ref="J15:K15"/>
    <mergeCell ref="J18:K18"/>
    <mergeCell ref="B9:C9"/>
    <mergeCell ref="B11:C11"/>
    <mergeCell ref="B12:C12"/>
    <mergeCell ref="B36:C36"/>
    <mergeCell ref="B37:C37"/>
    <mergeCell ref="B26:C26"/>
    <mergeCell ref="B27:C27"/>
    <mergeCell ref="B28:C28"/>
    <mergeCell ref="B29:C29"/>
    <mergeCell ref="B30:C30"/>
    <mergeCell ref="B23:C23"/>
    <mergeCell ref="B24:C24"/>
    <mergeCell ref="B14:C14"/>
    <mergeCell ref="B34:C34"/>
    <mergeCell ref="B10:C10"/>
    <mergeCell ref="B13:C13"/>
    <mergeCell ref="B31:C31"/>
    <mergeCell ref="B21:C21"/>
    <mergeCell ref="B22:C22"/>
    <mergeCell ref="B35:C35"/>
    <mergeCell ref="D12:E12"/>
    <mergeCell ref="D14:E14"/>
    <mergeCell ref="J37:K37"/>
    <mergeCell ref="D15:E15"/>
    <mergeCell ref="D17:E17"/>
    <mergeCell ref="D18:E18"/>
    <mergeCell ref="D19:E19"/>
    <mergeCell ref="D21:E21"/>
    <mergeCell ref="D22:E22"/>
    <mergeCell ref="H34:I34"/>
    <mergeCell ref="F34:G34"/>
    <mergeCell ref="J35:K35"/>
    <mergeCell ref="H35:I35"/>
    <mergeCell ref="H24:I24"/>
    <mergeCell ref="F24:G24"/>
    <mergeCell ref="F21:G21"/>
    <mergeCell ref="F22:G22"/>
    <mergeCell ref="F23:G23"/>
    <mergeCell ref="H21:I21"/>
    <mergeCell ref="H22:I22"/>
    <mergeCell ref="H23:I23"/>
    <mergeCell ref="J22:K22"/>
    <mergeCell ref="J23:K23"/>
    <mergeCell ref="J24:K24"/>
    <mergeCell ref="R12:S12"/>
    <mergeCell ref="P12:Q12"/>
    <mergeCell ref="J19:K19"/>
    <mergeCell ref="H19:I19"/>
    <mergeCell ref="F19:G19"/>
    <mergeCell ref="V12:W12"/>
    <mergeCell ref="J12:K12"/>
    <mergeCell ref="H12:I12"/>
    <mergeCell ref="F12:G12"/>
    <mergeCell ref="F13:G13"/>
    <mergeCell ref="H13:I13"/>
    <mergeCell ref="J13:K13"/>
    <mergeCell ref="V13:W13"/>
    <mergeCell ref="V14:W14"/>
    <mergeCell ref="J14:K14"/>
    <mergeCell ref="H14:I14"/>
    <mergeCell ref="F14:G14"/>
    <mergeCell ref="J17:K17"/>
    <mergeCell ref="H17:I17"/>
    <mergeCell ref="F17:G17"/>
    <mergeCell ref="F18:G18"/>
    <mergeCell ref="H18:I18"/>
    <mergeCell ref="F15:G15"/>
    <mergeCell ref="N19:O19"/>
    <mergeCell ref="F31:G31"/>
    <mergeCell ref="H31:I31"/>
    <mergeCell ref="J31:K31"/>
    <mergeCell ref="J29:K29"/>
    <mergeCell ref="J26:K26"/>
    <mergeCell ref="H26:I26"/>
    <mergeCell ref="F26:G26"/>
    <mergeCell ref="F27:G27"/>
    <mergeCell ref="H27:I27"/>
    <mergeCell ref="J27:K27"/>
    <mergeCell ref="H30:I30"/>
    <mergeCell ref="H29:I29"/>
    <mergeCell ref="J21:K21"/>
    <mergeCell ref="J20:K20"/>
    <mergeCell ref="F20:G20"/>
    <mergeCell ref="H20:I20"/>
    <mergeCell ref="F30:G30"/>
    <mergeCell ref="F25:G25"/>
    <mergeCell ref="H25:I25"/>
    <mergeCell ref="J25:K25"/>
    <mergeCell ref="V22:W22"/>
    <mergeCell ref="V23:W23"/>
    <mergeCell ref="P22:Q22"/>
    <mergeCell ref="P26:Q26"/>
    <mergeCell ref="N26:O26"/>
    <mergeCell ref="N28:O28"/>
    <mergeCell ref="P24:Q24"/>
    <mergeCell ref="P25:Q25"/>
    <mergeCell ref="N24:O24"/>
    <mergeCell ref="N25:O25"/>
    <mergeCell ref="P28:Q28"/>
    <mergeCell ref="R24:S24"/>
    <mergeCell ref="R25:S25"/>
    <mergeCell ref="R23:S23"/>
    <mergeCell ref="T20:U20"/>
    <mergeCell ref="R20:S20"/>
    <mergeCell ref="V31:W31"/>
    <mergeCell ref="V29:W29"/>
    <mergeCell ref="V30:W30"/>
    <mergeCell ref="L31:M31"/>
    <mergeCell ref="R22:S22"/>
    <mergeCell ref="V28:W28"/>
    <mergeCell ref="L28:M28"/>
    <mergeCell ref="L24:M24"/>
    <mergeCell ref="L25:M25"/>
    <mergeCell ref="V24:W24"/>
    <mergeCell ref="N27:O27"/>
    <mergeCell ref="L22:M22"/>
    <mergeCell ref="L23:M23"/>
    <mergeCell ref="R26:S26"/>
    <mergeCell ref="V27:W27"/>
    <mergeCell ref="P27:Q27"/>
    <mergeCell ref="N30:O30"/>
    <mergeCell ref="P30:Q30"/>
    <mergeCell ref="P31:Q31"/>
    <mergeCell ref="N22:O22"/>
    <mergeCell ref="L12:M12"/>
    <mergeCell ref="L13:M13"/>
    <mergeCell ref="P20:Q20"/>
    <mergeCell ref="N20:O20"/>
    <mergeCell ref="N21:O21"/>
    <mergeCell ref="L14:M14"/>
    <mergeCell ref="L15:M15"/>
    <mergeCell ref="L17:M17"/>
    <mergeCell ref="L34:M34"/>
    <mergeCell ref="L30:M30"/>
    <mergeCell ref="L36:M36"/>
    <mergeCell ref="L26:M26"/>
    <mergeCell ref="L27:M27"/>
    <mergeCell ref="N23:O23"/>
    <mergeCell ref="P23:Q23"/>
    <mergeCell ref="L21:M21"/>
    <mergeCell ref="N29:O29"/>
    <mergeCell ref="P29:Q29"/>
    <mergeCell ref="P36:Q36"/>
    <mergeCell ref="N36:O36"/>
    <mergeCell ref="N31:O31"/>
    <mergeCell ref="L35:M35"/>
    <mergeCell ref="N35:O35"/>
    <mergeCell ref="P35:Q35"/>
    <mergeCell ref="P34:Q34"/>
    <mergeCell ref="N34:O34"/>
    <mergeCell ref="P21:Q21"/>
    <mergeCell ref="R17:S17"/>
    <mergeCell ref="R14:S14"/>
    <mergeCell ref="R19:S19"/>
    <mergeCell ref="T19:U19"/>
    <mergeCell ref="F9:G9"/>
    <mergeCell ref="H9:I9"/>
    <mergeCell ref="J9:K9"/>
    <mergeCell ref="R18:S18"/>
    <mergeCell ref="R21:S21"/>
    <mergeCell ref="T21:U21"/>
    <mergeCell ref="L18:M18"/>
    <mergeCell ref="L19:M19"/>
    <mergeCell ref="P19:Q19"/>
    <mergeCell ref="L20:M20"/>
    <mergeCell ref="P18:Q18"/>
    <mergeCell ref="N18:O18"/>
    <mergeCell ref="P11:Q11"/>
    <mergeCell ref="N13:O13"/>
    <mergeCell ref="P13:Q13"/>
    <mergeCell ref="P14:Q14"/>
    <mergeCell ref="N14:O14"/>
    <mergeCell ref="N15:O15"/>
    <mergeCell ref="P15:Q15"/>
    <mergeCell ref="N12:O12"/>
    <mergeCell ref="V9:W9"/>
    <mergeCell ref="H11:I11"/>
    <mergeCell ref="D9:E9"/>
    <mergeCell ref="D11:E11"/>
    <mergeCell ref="J10:K10"/>
    <mergeCell ref="H10:I10"/>
    <mergeCell ref="F10:G10"/>
    <mergeCell ref="D10:E10"/>
    <mergeCell ref="F11:G11"/>
    <mergeCell ref="R9:S9"/>
    <mergeCell ref="T9:U9"/>
    <mergeCell ref="P9:Q9"/>
    <mergeCell ref="N9:O9"/>
    <mergeCell ref="L9:M9"/>
    <mergeCell ref="P10:Q10"/>
    <mergeCell ref="J11:K11"/>
    <mergeCell ref="V11:W11"/>
    <mergeCell ref="L11:M11"/>
    <mergeCell ref="R11:S11"/>
    <mergeCell ref="T11:U11"/>
    <mergeCell ref="N11:O11"/>
    <mergeCell ref="X10:Y10"/>
    <mergeCell ref="T10:U10"/>
    <mergeCell ref="R10:S10"/>
    <mergeCell ref="L10:M10"/>
    <mergeCell ref="N10:O10"/>
    <mergeCell ref="X11:Y11"/>
    <mergeCell ref="X9:Y9"/>
    <mergeCell ref="X23:Y23"/>
    <mergeCell ref="X24:Y24"/>
    <mergeCell ref="T24:U24"/>
    <mergeCell ref="P17:Q17"/>
    <mergeCell ref="N17:O17"/>
    <mergeCell ref="R13:S13"/>
    <mergeCell ref="X13:Y13"/>
    <mergeCell ref="X21:Y21"/>
    <mergeCell ref="X22:Y22"/>
    <mergeCell ref="X15:Y15"/>
    <mergeCell ref="X17:Y17"/>
    <mergeCell ref="X20:Y20"/>
    <mergeCell ref="V19:W19"/>
    <mergeCell ref="V16:W16"/>
    <mergeCell ref="R16:S16"/>
    <mergeCell ref="R15:S15"/>
    <mergeCell ref="T15:U15"/>
    <mergeCell ref="X26:Y26"/>
    <mergeCell ref="T26:U26"/>
    <mergeCell ref="T23:U23"/>
    <mergeCell ref="X12:Y12"/>
    <mergeCell ref="T18:U18"/>
    <mergeCell ref="X18:Y18"/>
    <mergeCell ref="X19:Y19"/>
    <mergeCell ref="X14:Y14"/>
    <mergeCell ref="T13:U13"/>
    <mergeCell ref="T12:U12"/>
    <mergeCell ref="T14:U14"/>
    <mergeCell ref="V25:W25"/>
    <mergeCell ref="X25:Y25"/>
    <mergeCell ref="T25:U25"/>
    <mergeCell ref="V26:W26"/>
    <mergeCell ref="V15:W15"/>
    <mergeCell ref="T22:U22"/>
    <mergeCell ref="V17:W17"/>
    <mergeCell ref="V18:W18"/>
    <mergeCell ref="V20:W20"/>
    <mergeCell ref="V21:W21"/>
    <mergeCell ref="T16:U16"/>
    <mergeCell ref="T17:U17"/>
    <mergeCell ref="X36:Y36"/>
    <mergeCell ref="T36:U36"/>
    <mergeCell ref="R36:S36"/>
    <mergeCell ref="X35:Y35"/>
    <mergeCell ref="X34:Y34"/>
    <mergeCell ref="T34:U34"/>
    <mergeCell ref="R34:S34"/>
    <mergeCell ref="X27:Y27"/>
    <mergeCell ref="T27:U27"/>
    <mergeCell ref="T28:U28"/>
    <mergeCell ref="T29:U29"/>
    <mergeCell ref="R27:S27"/>
    <mergeCell ref="R28:S28"/>
    <mergeCell ref="R29:S29"/>
    <mergeCell ref="R35:S35"/>
    <mergeCell ref="R30:S30"/>
    <mergeCell ref="R31:S31"/>
    <mergeCell ref="T30:U30"/>
    <mergeCell ref="T35:U35"/>
    <mergeCell ref="X30:Y30"/>
    <mergeCell ref="X31:Y31"/>
    <mergeCell ref="X29:Y29"/>
    <mergeCell ref="X28:Y28"/>
    <mergeCell ref="T31:U31"/>
    <mergeCell ref="D42:E42"/>
    <mergeCell ref="L41:M41"/>
    <mergeCell ref="J42:K42"/>
    <mergeCell ref="F38:G38"/>
    <mergeCell ref="F39:G39"/>
    <mergeCell ref="H38:I38"/>
    <mergeCell ref="H39:I39"/>
    <mergeCell ref="D40:E40"/>
    <mergeCell ref="X43:Y43"/>
    <mergeCell ref="T43:U43"/>
    <mergeCell ref="N42:O42"/>
    <mergeCell ref="P41:Q41"/>
    <mergeCell ref="P42:Q42"/>
    <mergeCell ref="R41:S41"/>
    <mergeCell ref="R42:S42"/>
    <mergeCell ref="R43:S43"/>
    <mergeCell ref="P43:Q43"/>
    <mergeCell ref="T41:U41"/>
    <mergeCell ref="T42:U42"/>
    <mergeCell ref="X41:Y41"/>
    <mergeCell ref="X42:Y42"/>
    <mergeCell ref="V43:W43"/>
    <mergeCell ref="V42:W42"/>
    <mergeCell ref="V41:W41"/>
    <mergeCell ref="J40:K40"/>
    <mergeCell ref="F40:G40"/>
    <mergeCell ref="F41:G41"/>
    <mergeCell ref="H41:I41"/>
    <mergeCell ref="L40:M40"/>
    <mergeCell ref="J39:K39"/>
    <mergeCell ref="J41:K41"/>
    <mergeCell ref="B38:C38"/>
    <mergeCell ref="B39:C39"/>
    <mergeCell ref="B41:C41"/>
    <mergeCell ref="X37:Y37"/>
    <mergeCell ref="P37:Q37"/>
    <mergeCell ref="P38:Q38"/>
    <mergeCell ref="P39:Q39"/>
    <mergeCell ref="P40:Q40"/>
    <mergeCell ref="R40:S40"/>
    <mergeCell ref="R39:S39"/>
    <mergeCell ref="R38:S38"/>
    <mergeCell ref="R37:S37"/>
    <mergeCell ref="T37:U37"/>
    <mergeCell ref="T38:U38"/>
    <mergeCell ref="T39:U39"/>
    <mergeCell ref="T40:U40"/>
    <mergeCell ref="X40:Y40"/>
    <mergeCell ref="X39:Y39"/>
    <mergeCell ref="X38:Y38"/>
    <mergeCell ref="V38:W38"/>
    <mergeCell ref="V39:W39"/>
    <mergeCell ref="H43:I43"/>
    <mergeCell ref="F43:G43"/>
    <mergeCell ref="D16:E16"/>
    <mergeCell ref="F16:G16"/>
    <mergeCell ref="H16:I16"/>
    <mergeCell ref="C47:E47"/>
    <mergeCell ref="N16:O16"/>
    <mergeCell ref="P16:Q16"/>
    <mergeCell ref="N37:O37"/>
    <mergeCell ref="N38:O38"/>
    <mergeCell ref="N39:O39"/>
    <mergeCell ref="N40:O40"/>
    <mergeCell ref="N41:O41"/>
    <mergeCell ref="N43:O43"/>
    <mergeCell ref="L43:M43"/>
    <mergeCell ref="H42:I42"/>
    <mergeCell ref="F42:G42"/>
    <mergeCell ref="L37:M37"/>
    <mergeCell ref="L38:M38"/>
    <mergeCell ref="L39:M39"/>
    <mergeCell ref="L42:M42"/>
    <mergeCell ref="J38:K38"/>
    <mergeCell ref="H40:I40"/>
    <mergeCell ref="B42:C42"/>
  </mergeCells>
  <phoneticPr fontId="2" type="noConversion"/>
  <conditionalFormatting sqref="B42 B31 D31 D42 F31 F42 H31 J31 V31 L31 L42 J42 H42 N31 N42 P31 R31 T31 X31 P42 R42 T42 X42">
    <cfRule type="cellIs" dxfId="8" priority="4" stopIfTrue="1" operator="lessThan">
      <formula>0</formula>
    </cfRule>
  </conditionalFormatting>
  <conditionalFormatting sqref="V42:W42">
    <cfRule type="cellIs" dxfId="7" priority="1" operator="lessThan">
      <formula>0</formula>
    </cfRule>
    <cfRule type="cellIs" dxfId="6" priority="2" operator="lessThan">
      <formula>0</formula>
    </cfRule>
    <cfRule type="colorScale" priority="3">
      <colorScale>
        <cfvo type="formula" val="&quot;&lt;0&quot;"/>
        <cfvo type="formula" val="&quot;&gt;0&quot;"/>
        <color rgb="FFFF0000"/>
        <color theme="1"/>
      </colorScale>
    </cfRule>
  </conditionalFormatting>
  <printOptions horizontalCentered="1" verticalCentered="1"/>
  <pageMargins left="0.5" right="0.5" top="0.5" bottom="0.5" header="0.25" footer="0.25"/>
  <pageSetup scale="79" orientation="landscape"/>
  <headerFooter>
    <oddFooter>&amp;L&amp;G</oddFooter>
  </headerFooter>
  <ignoredErrors>
    <ignoredError sqref="D9 N9 D44:D45 N44:N45" formula="1"/>
    <ignoredError sqref="N32 D32" formula="1" unlockedFormula="1"/>
    <ignoredError sqref="L8 D34 X12 D12 N34 H17:H18 X17:X18 X21 D27 F17:F18 D30:D31 N30:N31 P21 X8 F12 H12 J12 L21 N21 P8 P17:P18 P12 R8 R17:R18 R12 T8 T21 T17:T18 T12 Y35 C35 M35 U35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61" workbookViewId="0">
      <selection activeCell="A62" sqref="A62"/>
    </sheetView>
  </sheetViews>
  <sheetFormatPr defaultColWidth="8.85546875" defaultRowHeight="12.75" x14ac:dyDescent="0.2"/>
  <cols>
    <col min="1" max="1" width="11.7109375" bestFit="1" customWidth="1"/>
    <col min="2" max="4" width="7.7109375" style="3" bestFit="1" customWidth="1"/>
    <col min="5" max="5" width="8.7109375" style="3" bestFit="1" customWidth="1"/>
    <col min="6" max="6" width="2.42578125" style="2" customWidth="1"/>
    <col min="7" max="9" width="7.7109375" bestFit="1" customWidth="1"/>
    <col min="10" max="10" width="8.28515625" bestFit="1" customWidth="1"/>
    <col min="11" max="11" width="1.7109375" style="2" customWidth="1"/>
    <col min="12" max="14" width="7.7109375" bestFit="1" customWidth="1"/>
    <col min="15" max="15" width="8.28515625" bestFit="1" customWidth="1"/>
    <col min="16" max="16" width="1.85546875" style="2" customWidth="1"/>
    <col min="17" max="19" width="7.7109375" bestFit="1" customWidth="1"/>
    <col min="20" max="20" width="8.28515625" bestFit="1" customWidth="1"/>
  </cols>
  <sheetData>
    <row r="1" spans="1:20" x14ac:dyDescent="0.2">
      <c r="A1" s="406" t="s">
        <v>85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</row>
    <row r="2" spans="1:20" x14ac:dyDescent="0.2">
      <c r="B2" s="3" t="s">
        <v>2</v>
      </c>
      <c r="C2" s="3" t="s">
        <v>68</v>
      </c>
      <c r="D2" s="3" t="s">
        <v>4</v>
      </c>
      <c r="E2" s="3" t="s">
        <v>69</v>
      </c>
    </row>
    <row r="3" spans="1:20" x14ac:dyDescent="0.2">
      <c r="A3" s="1" t="s">
        <v>70</v>
      </c>
      <c r="B3" s="4">
        <f>Conventional!$B$30</f>
        <v>502.70786422727281</v>
      </c>
      <c r="C3" s="4">
        <f>Conventional!$D$30</f>
        <v>639.00182499999994</v>
      </c>
      <c r="D3" s="4">
        <f>Conventional!$F$30</f>
        <v>563.76092500000004</v>
      </c>
      <c r="E3" s="4">
        <f>Conventional!$H$30</f>
        <v>252.41029835000001</v>
      </c>
    </row>
    <row r="4" spans="1:20" x14ac:dyDescent="0.2">
      <c r="A4" s="1" t="s">
        <v>71</v>
      </c>
      <c r="B4" s="5">
        <f>Conventional!$B$7</f>
        <v>1200</v>
      </c>
      <c r="C4" s="5">
        <f>Conventional!$D$7</f>
        <v>4700</v>
      </c>
      <c r="D4" s="5">
        <f>Conventional!$F$7</f>
        <v>200</v>
      </c>
      <c r="E4" s="5">
        <f>Conventional!$H$7</f>
        <v>60</v>
      </c>
    </row>
    <row r="5" spans="1:20" s="6" customFormat="1" x14ac:dyDescent="0.2">
      <c r="B5" s="407" t="s">
        <v>74</v>
      </c>
      <c r="C5" s="407"/>
      <c r="D5" s="407"/>
      <c r="E5" s="407"/>
      <c r="F5" s="29"/>
      <c r="G5" s="408" t="s">
        <v>75</v>
      </c>
      <c r="H5" s="408"/>
      <c r="I5" s="408"/>
      <c r="J5" s="408"/>
      <c r="K5" s="29"/>
      <c r="L5" s="409" t="s">
        <v>76</v>
      </c>
      <c r="M5" s="409"/>
      <c r="N5" s="409"/>
      <c r="O5" s="409"/>
      <c r="P5" s="29"/>
      <c r="Q5" s="410" t="s">
        <v>77</v>
      </c>
      <c r="R5" s="410"/>
      <c r="S5" s="410"/>
      <c r="T5" s="410"/>
    </row>
    <row r="6" spans="1:20" s="8" customFormat="1" ht="25.5" x14ac:dyDescent="0.2">
      <c r="A6" s="7"/>
      <c r="B6" s="25" t="s">
        <v>50</v>
      </c>
      <c r="C6" s="35" t="s">
        <v>78</v>
      </c>
      <c r="D6" s="35" t="s">
        <v>47</v>
      </c>
      <c r="E6" s="35" t="s">
        <v>79</v>
      </c>
      <c r="F6" s="31"/>
      <c r="G6" s="34" t="s">
        <v>50</v>
      </c>
      <c r="H6" s="26" t="s">
        <v>78</v>
      </c>
      <c r="I6" s="34" t="s">
        <v>47</v>
      </c>
      <c r="J6" s="34" t="s">
        <v>79</v>
      </c>
      <c r="K6" s="31"/>
      <c r="L6" s="33" t="s">
        <v>50</v>
      </c>
      <c r="M6" s="33" t="s">
        <v>78</v>
      </c>
      <c r="N6" s="27" t="s">
        <v>47</v>
      </c>
      <c r="O6" s="33" t="s">
        <v>79</v>
      </c>
      <c r="P6" s="31"/>
      <c r="Q6" s="32" t="s">
        <v>50</v>
      </c>
      <c r="R6" s="32" t="s">
        <v>78</v>
      </c>
      <c r="S6" s="28" t="s">
        <v>47</v>
      </c>
      <c r="T6" s="32" t="s">
        <v>79</v>
      </c>
    </row>
    <row r="7" spans="1:20" x14ac:dyDescent="0.2">
      <c r="B7" s="18">
        <f t="shared" ref="B7:B12" si="0">B8-0.025</f>
        <v>0.5249999999999998</v>
      </c>
      <c r="C7" s="19">
        <f t="shared" ref="C7:C21" si="1">(((B7*$B$4)-$B$3+$C$3)/$C$4)*2000</f>
        <v>326.08253649903276</v>
      </c>
      <c r="D7" s="18">
        <f t="shared" ref="D7:D21" si="2">(((B7*$B$4)-$B$3+$D$3)/$D$4)</f>
        <v>3.455265303863635</v>
      </c>
      <c r="E7" s="18">
        <f>(((B7*$B$4)-$B$3+$E$3)/$E$4)</f>
        <v>6.3283739020454499</v>
      </c>
      <c r="G7" s="20">
        <f>(((H7*$C$4/2000)-$C$3+$B$3)/$B$4)</f>
        <v>0.5914216993560607</v>
      </c>
      <c r="H7" s="21">
        <f t="shared" ref="H7:H12" si="3">H8-10</f>
        <v>360</v>
      </c>
      <c r="I7" s="20">
        <f>(((H7*$C$4/2000)-$C$3+$D$3)/$D$4)</f>
        <v>3.8537955000000004</v>
      </c>
      <c r="J7" s="20">
        <f>(((H7*$C$4/2000)-$C$3+$E$3)/$E$4)</f>
        <v>7.656807889166668</v>
      </c>
      <c r="L7" s="13">
        <f>(((N7*$D$4)-$D$3+$B$3)/$B$4)</f>
        <v>0.46578911602272738</v>
      </c>
      <c r="M7" s="14">
        <f>(((N7*$D$4)-$D$3+$C$3)/$C$4)*2000</f>
        <v>295.84719148936171</v>
      </c>
      <c r="N7" s="13">
        <f t="shared" ref="N7:N12" si="4">N8-0.15</f>
        <v>3.1000000000000005</v>
      </c>
      <c r="O7" s="13">
        <f>(((N7*$D$4)-$D$3+$E$3)/$E$4)</f>
        <v>5.1441562225000013</v>
      </c>
      <c r="Q7" s="9">
        <f>(((T7*$E$4)-$E$3+$B$3)/$B$4)</f>
        <v>0.56108130489772745</v>
      </c>
      <c r="R7" s="10">
        <f>(((T7*$E$4)-$E$3+$C$3)/$C$4)*2000</f>
        <v>344.50703261702131</v>
      </c>
      <c r="S7" s="9">
        <f>(((T7*$E$4)-$E$3+$D$3)/$D$4)</f>
        <v>3.6717531332500011</v>
      </c>
      <c r="T7" s="9">
        <f t="shared" ref="T7:T12" si="5">T8-0.35</f>
        <v>7.0500000000000025</v>
      </c>
    </row>
    <row r="8" spans="1:20" x14ac:dyDescent="0.2">
      <c r="B8" s="18">
        <f t="shared" si="0"/>
        <v>0.54999999999999982</v>
      </c>
      <c r="C8" s="19">
        <f t="shared" si="1"/>
        <v>338.8484939458412</v>
      </c>
      <c r="D8" s="18">
        <f t="shared" si="2"/>
        <v>3.6052653038636349</v>
      </c>
      <c r="E8" s="18">
        <f>(((B8*$B$4)-$B$3+$E$3)/$E$4)</f>
        <v>6.8283739020454499</v>
      </c>
      <c r="G8" s="20">
        <f t="shared" ref="G8:G21" si="6">(((H8*$C$4/2000)-$C$3+$B$3)/$B$4)</f>
        <v>0.6110050326893941</v>
      </c>
      <c r="H8" s="21">
        <f t="shared" si="3"/>
        <v>370</v>
      </c>
      <c r="I8" s="20">
        <f t="shared" ref="I8:I21" si="7">(((H8*$C$4/2000)-$C$3+$D$3)/$D$4)</f>
        <v>3.9712955000000005</v>
      </c>
      <c r="J8" s="20">
        <f t="shared" ref="J8:J21" si="8">(((H8*$C$4/2000)-$C$3+$E$3)/$E$4)</f>
        <v>8.0484745558333337</v>
      </c>
      <c r="L8" s="13">
        <f t="shared" ref="L8:L21" si="9">(((N8*$D$4)-$D$3+$B$3)/$B$4)</f>
        <v>0.4907891160227274</v>
      </c>
      <c r="M8" s="14">
        <f t="shared" ref="M8:M21" si="10">(((N8*$D$4)-$D$3+$C$3)/$C$4)*2000</f>
        <v>308.61314893617021</v>
      </c>
      <c r="N8" s="13">
        <f t="shared" si="4"/>
        <v>3.2500000000000004</v>
      </c>
      <c r="O8" s="13">
        <f t="shared" ref="O8:O21" si="11">(((N8*$D$4)-$D$3+$E$3)/$E$4)</f>
        <v>5.6441562225000013</v>
      </c>
      <c r="Q8" s="9">
        <f t="shared" ref="Q8:Q21" si="12">(((T8*$E$4)-$E$3+$B$3)/$B$4)</f>
        <v>0.57858130489772752</v>
      </c>
      <c r="R8" s="10">
        <f t="shared" ref="R8:R21" si="13">(((T8*$E$4)-$E$3+$C$3)/$C$4)*2000</f>
        <v>353.44320282978731</v>
      </c>
      <c r="S8" s="9">
        <f t="shared" ref="S8:S21" si="14">(((T8*$E$4)-$E$3+$D$3)/$D$4)</f>
        <v>3.7767531332500006</v>
      </c>
      <c r="T8" s="9">
        <f t="shared" si="5"/>
        <v>7.4000000000000021</v>
      </c>
    </row>
    <row r="9" spans="1:20" x14ac:dyDescent="0.2">
      <c r="B9" s="18">
        <f t="shared" si="0"/>
        <v>0.57499999999999984</v>
      </c>
      <c r="C9" s="19">
        <f t="shared" si="1"/>
        <v>351.61445139264976</v>
      </c>
      <c r="D9" s="18">
        <f t="shared" si="2"/>
        <v>3.7552653038636352</v>
      </c>
      <c r="E9" s="18">
        <f t="shared" ref="E9:E21" si="15">(((B9*$B$4)-$B$3+$E$3)/$E$4)</f>
        <v>7.3283739020454499</v>
      </c>
      <c r="G9" s="20">
        <f t="shared" si="6"/>
        <v>0.63058836602272739</v>
      </c>
      <c r="H9" s="21">
        <f t="shared" si="3"/>
        <v>380</v>
      </c>
      <c r="I9" s="20">
        <f t="shared" si="7"/>
        <v>4.0887955000000007</v>
      </c>
      <c r="J9" s="20">
        <f t="shared" si="8"/>
        <v>8.4401412225000012</v>
      </c>
      <c r="L9" s="13">
        <f t="shared" si="9"/>
        <v>0.51578911602272737</v>
      </c>
      <c r="M9" s="14">
        <f t="shared" si="10"/>
        <v>321.3791063829787</v>
      </c>
      <c r="N9" s="13">
        <f t="shared" si="4"/>
        <v>3.4000000000000004</v>
      </c>
      <c r="O9" s="13">
        <f t="shared" si="11"/>
        <v>6.1441562225000013</v>
      </c>
      <c r="Q9" s="9">
        <f t="shared" si="12"/>
        <v>0.59608130489772748</v>
      </c>
      <c r="R9" s="10">
        <f t="shared" si="13"/>
        <v>362.37937304255325</v>
      </c>
      <c r="S9" s="9">
        <f t="shared" si="14"/>
        <v>3.8817531332500006</v>
      </c>
      <c r="T9" s="9">
        <f t="shared" si="5"/>
        <v>7.7500000000000018</v>
      </c>
    </row>
    <row r="10" spans="1:20" x14ac:dyDescent="0.2">
      <c r="B10" s="18">
        <f t="shared" si="0"/>
        <v>0.59999999999999987</v>
      </c>
      <c r="C10" s="19">
        <f t="shared" si="1"/>
        <v>364.38040883945831</v>
      </c>
      <c r="D10" s="18">
        <f t="shared" si="2"/>
        <v>3.9052653038636356</v>
      </c>
      <c r="E10" s="18">
        <f t="shared" si="15"/>
        <v>7.8283739020454517</v>
      </c>
      <c r="G10" s="20">
        <f t="shared" si="6"/>
        <v>0.65017169935606067</v>
      </c>
      <c r="H10" s="21">
        <f t="shared" si="3"/>
        <v>390</v>
      </c>
      <c r="I10" s="20">
        <f t="shared" si="7"/>
        <v>4.2062955000000004</v>
      </c>
      <c r="J10" s="20">
        <f t="shared" si="8"/>
        <v>8.8318078891666687</v>
      </c>
      <c r="L10" s="13">
        <f t="shared" si="9"/>
        <v>0.54078911602272728</v>
      </c>
      <c r="M10" s="14">
        <f t="shared" si="10"/>
        <v>334.1450638297872</v>
      </c>
      <c r="N10" s="13">
        <f t="shared" si="4"/>
        <v>3.5500000000000003</v>
      </c>
      <c r="O10" s="13">
        <f t="shared" si="11"/>
        <v>6.6441562224999995</v>
      </c>
      <c r="Q10" s="9">
        <f t="shared" si="12"/>
        <v>0.61358130489772744</v>
      </c>
      <c r="R10" s="10">
        <f t="shared" si="13"/>
        <v>371.3155432553192</v>
      </c>
      <c r="S10" s="9">
        <f t="shared" si="14"/>
        <v>3.9867531332500006</v>
      </c>
      <c r="T10" s="9">
        <f t="shared" si="5"/>
        <v>8.1000000000000014</v>
      </c>
    </row>
    <row r="11" spans="1:20" x14ac:dyDescent="0.2">
      <c r="B11" s="18">
        <f t="shared" si="0"/>
        <v>0.62499999999999989</v>
      </c>
      <c r="C11" s="19">
        <f t="shared" si="1"/>
        <v>377.14636628626681</v>
      </c>
      <c r="D11" s="18">
        <f t="shared" si="2"/>
        <v>4.0552653038636359</v>
      </c>
      <c r="E11" s="18">
        <f t="shared" si="15"/>
        <v>8.3283739020454508</v>
      </c>
      <c r="G11" s="20">
        <f t="shared" si="6"/>
        <v>0.66975503268939407</v>
      </c>
      <c r="H11" s="21">
        <f t="shared" si="3"/>
        <v>400</v>
      </c>
      <c r="I11" s="20">
        <f t="shared" si="7"/>
        <v>4.3237955000000001</v>
      </c>
      <c r="J11" s="20">
        <f t="shared" si="8"/>
        <v>9.2234745558333362</v>
      </c>
      <c r="L11" s="13">
        <f t="shared" si="9"/>
        <v>0.5657891160227273</v>
      </c>
      <c r="M11" s="14">
        <f t="shared" si="10"/>
        <v>346.9110212765957</v>
      </c>
      <c r="N11" s="13">
        <f t="shared" si="4"/>
        <v>3.7</v>
      </c>
      <c r="O11" s="13">
        <f t="shared" si="11"/>
        <v>7.1441562224999995</v>
      </c>
      <c r="Q11" s="9">
        <f t="shared" si="12"/>
        <v>0.6310813048977274</v>
      </c>
      <c r="R11" s="10">
        <f t="shared" si="13"/>
        <v>380.25171346808514</v>
      </c>
      <c r="S11" s="9">
        <f t="shared" si="14"/>
        <v>4.0917531332500001</v>
      </c>
      <c r="T11" s="9">
        <f t="shared" si="5"/>
        <v>8.4500000000000011</v>
      </c>
    </row>
    <row r="12" spans="1:20" x14ac:dyDescent="0.2">
      <c r="B12" s="18">
        <f t="shared" si="0"/>
        <v>0.64999999999999991</v>
      </c>
      <c r="C12" s="19">
        <f t="shared" si="1"/>
        <v>389.91232373307531</v>
      </c>
      <c r="D12" s="18">
        <f t="shared" si="2"/>
        <v>4.2052653038636354</v>
      </c>
      <c r="E12" s="18">
        <f t="shared" si="15"/>
        <v>8.8283739020454508</v>
      </c>
      <c r="G12" s="20">
        <f t="shared" si="6"/>
        <v>0.68933836602272736</v>
      </c>
      <c r="H12" s="21">
        <f t="shared" si="3"/>
        <v>410</v>
      </c>
      <c r="I12" s="20">
        <f t="shared" si="7"/>
        <v>4.4412955000000007</v>
      </c>
      <c r="J12" s="20">
        <f t="shared" si="8"/>
        <v>9.6151412225000019</v>
      </c>
      <c r="L12" s="13">
        <f t="shared" si="9"/>
        <v>0.59078911602272732</v>
      </c>
      <c r="M12" s="14">
        <f t="shared" si="10"/>
        <v>359.6769787234042</v>
      </c>
      <c r="N12" s="13">
        <f t="shared" si="4"/>
        <v>3.85</v>
      </c>
      <c r="O12" s="13">
        <f t="shared" si="11"/>
        <v>7.6441562224999995</v>
      </c>
      <c r="Q12" s="9">
        <f t="shared" si="12"/>
        <v>0.64858130489772725</v>
      </c>
      <c r="R12" s="10">
        <f t="shared" si="13"/>
        <v>389.18788368085097</v>
      </c>
      <c r="S12" s="9">
        <f t="shared" si="14"/>
        <v>4.1967531332500005</v>
      </c>
      <c r="T12" s="9">
        <f t="shared" si="5"/>
        <v>8.8000000000000007</v>
      </c>
    </row>
    <row r="13" spans="1:20" ht="13.5" thickBot="1" x14ac:dyDescent="0.25">
      <c r="B13" s="18">
        <f>B14-0.025</f>
        <v>0.67499999999999993</v>
      </c>
      <c r="C13" s="19">
        <f t="shared" si="1"/>
        <v>402.67828117988387</v>
      </c>
      <c r="D13" s="18">
        <f t="shared" si="2"/>
        <v>4.3552653038636358</v>
      </c>
      <c r="E13" s="18">
        <f t="shared" si="15"/>
        <v>9.3283739020454508</v>
      </c>
      <c r="G13" s="20">
        <f t="shared" si="6"/>
        <v>0.70892169935606075</v>
      </c>
      <c r="H13" s="21">
        <f>H14-10</f>
        <v>420</v>
      </c>
      <c r="I13" s="20">
        <f t="shared" si="7"/>
        <v>4.5587955000000004</v>
      </c>
      <c r="J13" s="20">
        <f t="shared" si="8"/>
        <v>10.006807889166669</v>
      </c>
      <c r="L13" s="13">
        <f t="shared" si="9"/>
        <v>0.61578911602272735</v>
      </c>
      <c r="M13" s="14">
        <f t="shared" si="10"/>
        <v>372.44293617021276</v>
      </c>
      <c r="N13" s="13">
        <f>N14-0.15</f>
        <v>4</v>
      </c>
      <c r="O13" s="13">
        <f t="shared" si="11"/>
        <v>8.1441562224999995</v>
      </c>
      <c r="Q13" s="9">
        <f t="shared" si="12"/>
        <v>0.66608130489772732</v>
      </c>
      <c r="R13" s="10">
        <f t="shared" si="13"/>
        <v>398.12405389361697</v>
      </c>
      <c r="S13" s="9">
        <f t="shared" si="14"/>
        <v>4.3017531332500001</v>
      </c>
      <c r="T13" s="9">
        <f>T14-0.35</f>
        <v>9.15</v>
      </c>
    </row>
    <row r="14" spans="1:20" ht="13.5" thickBot="1" x14ac:dyDescent="0.25">
      <c r="B14" s="24">
        <f>Conventional!$B$8</f>
        <v>0.7</v>
      </c>
      <c r="C14" s="19">
        <f t="shared" si="1"/>
        <v>415.44423862669237</v>
      </c>
      <c r="D14" s="18">
        <f t="shared" si="2"/>
        <v>4.5052653038636361</v>
      </c>
      <c r="E14" s="18">
        <f t="shared" si="15"/>
        <v>9.8283739020454544</v>
      </c>
      <c r="G14" s="20">
        <f t="shared" si="6"/>
        <v>0.72850503268939404</v>
      </c>
      <c r="H14" s="22">
        <f>Conventional!$D$8</f>
        <v>430</v>
      </c>
      <c r="I14" s="20">
        <f t="shared" si="7"/>
        <v>4.6762955000000002</v>
      </c>
      <c r="J14" s="20">
        <f t="shared" si="8"/>
        <v>10.398474555833335</v>
      </c>
      <c r="L14" s="13">
        <f t="shared" si="9"/>
        <v>0.64078911602272737</v>
      </c>
      <c r="M14" s="14">
        <f t="shared" si="10"/>
        <v>385.20889361702126</v>
      </c>
      <c r="N14" s="15">
        <f>Conventional!$F$8</f>
        <v>4.1500000000000004</v>
      </c>
      <c r="O14" s="13">
        <f t="shared" si="11"/>
        <v>8.644156222500003</v>
      </c>
      <c r="Q14" s="9">
        <f t="shared" si="12"/>
        <v>0.68358130489772728</v>
      </c>
      <c r="R14" s="10">
        <f t="shared" si="13"/>
        <v>407.06022410638292</v>
      </c>
      <c r="S14" s="9">
        <f t="shared" si="14"/>
        <v>4.4067531332500005</v>
      </c>
      <c r="T14" s="11">
        <f>Conventional!$H$8</f>
        <v>9.5</v>
      </c>
    </row>
    <row r="15" spans="1:20" x14ac:dyDescent="0.2">
      <c r="B15" s="18">
        <f>B14+0.025</f>
        <v>0.72499999999999998</v>
      </c>
      <c r="C15" s="19">
        <f t="shared" si="1"/>
        <v>428.21019607350092</v>
      </c>
      <c r="D15" s="18">
        <f t="shared" si="2"/>
        <v>4.6552653038636365</v>
      </c>
      <c r="E15" s="18">
        <f t="shared" si="15"/>
        <v>10.328373902045454</v>
      </c>
      <c r="G15" s="20">
        <f t="shared" si="6"/>
        <v>0.74808836602272744</v>
      </c>
      <c r="H15" s="21">
        <f>H14+10</f>
        <v>440</v>
      </c>
      <c r="I15" s="20">
        <f t="shared" si="7"/>
        <v>4.7937955000000008</v>
      </c>
      <c r="J15" s="20">
        <f t="shared" si="8"/>
        <v>10.790141222500003</v>
      </c>
      <c r="L15" s="13">
        <f t="shared" si="9"/>
        <v>0.66578911602272739</v>
      </c>
      <c r="M15" s="14">
        <f t="shared" si="10"/>
        <v>397.97485106382982</v>
      </c>
      <c r="N15" s="13">
        <f>N14+0.15</f>
        <v>4.3000000000000007</v>
      </c>
      <c r="O15" s="13">
        <f t="shared" si="11"/>
        <v>9.144156222500003</v>
      </c>
      <c r="Q15" s="9">
        <f t="shared" si="12"/>
        <v>0.70108130489772724</v>
      </c>
      <c r="R15" s="10">
        <f t="shared" si="13"/>
        <v>415.99639431914886</v>
      </c>
      <c r="S15" s="9">
        <f t="shared" si="14"/>
        <v>4.51175313325</v>
      </c>
      <c r="T15" s="9">
        <f>T14+0.35</f>
        <v>9.85</v>
      </c>
    </row>
    <row r="16" spans="1:20" x14ac:dyDescent="0.2">
      <c r="B16" s="18">
        <f t="shared" ref="B16:B21" si="16">B15+0.025</f>
        <v>0.75</v>
      </c>
      <c r="C16" s="19">
        <f t="shared" si="1"/>
        <v>440.97615352030942</v>
      </c>
      <c r="D16" s="18">
        <f t="shared" si="2"/>
        <v>4.8052653038636359</v>
      </c>
      <c r="E16" s="18">
        <f t="shared" si="15"/>
        <v>10.828373902045454</v>
      </c>
      <c r="G16" s="20">
        <f t="shared" si="6"/>
        <v>0.76767169935606072</v>
      </c>
      <c r="H16" s="21">
        <f t="shared" ref="H16:H21" si="17">H15+10</f>
        <v>450</v>
      </c>
      <c r="I16" s="20">
        <f t="shared" si="7"/>
        <v>4.9112955000000005</v>
      </c>
      <c r="J16" s="20">
        <f t="shared" si="8"/>
        <v>11.181807889166668</v>
      </c>
      <c r="L16" s="13">
        <f t="shared" si="9"/>
        <v>0.69078911602272752</v>
      </c>
      <c r="M16" s="14">
        <f t="shared" si="10"/>
        <v>410.74080851063837</v>
      </c>
      <c r="N16" s="13">
        <f t="shared" ref="N16:N21" si="18">N15+0.15</f>
        <v>4.4500000000000011</v>
      </c>
      <c r="O16" s="13">
        <f t="shared" si="11"/>
        <v>9.644156222500003</v>
      </c>
      <c r="Q16" s="9">
        <f t="shared" si="12"/>
        <v>0.71858130489772731</v>
      </c>
      <c r="R16" s="10">
        <f t="shared" si="13"/>
        <v>424.93256453191486</v>
      </c>
      <c r="S16" s="9">
        <f t="shared" si="14"/>
        <v>4.6167531332500005</v>
      </c>
      <c r="T16" s="9">
        <f t="shared" ref="T16:T21" si="19">T15+0.35</f>
        <v>10.199999999999999</v>
      </c>
    </row>
    <row r="17" spans="1:20" x14ac:dyDescent="0.2">
      <c r="B17" s="18">
        <f t="shared" si="16"/>
        <v>0.77500000000000002</v>
      </c>
      <c r="C17" s="19">
        <f t="shared" si="1"/>
        <v>453.74211096711792</v>
      </c>
      <c r="D17" s="18">
        <f t="shared" si="2"/>
        <v>4.9552653038636363</v>
      </c>
      <c r="E17" s="18">
        <f t="shared" si="15"/>
        <v>11.328373902045454</v>
      </c>
      <c r="G17" s="20">
        <f t="shared" si="6"/>
        <v>0.78725503268939401</v>
      </c>
      <c r="H17" s="21">
        <f t="shared" si="17"/>
        <v>460</v>
      </c>
      <c r="I17" s="20">
        <f t="shared" si="7"/>
        <v>5.0287955000000002</v>
      </c>
      <c r="J17" s="20">
        <f t="shared" si="8"/>
        <v>11.573474555833336</v>
      </c>
      <c r="L17" s="13">
        <f t="shared" si="9"/>
        <v>0.71578911602272755</v>
      </c>
      <c r="M17" s="14">
        <f t="shared" si="10"/>
        <v>423.50676595744687</v>
      </c>
      <c r="N17" s="13">
        <f t="shared" si="18"/>
        <v>4.6000000000000014</v>
      </c>
      <c r="O17" s="13">
        <f t="shared" si="11"/>
        <v>10.144156222500003</v>
      </c>
      <c r="Q17" s="9">
        <f t="shared" si="12"/>
        <v>0.73608130489772727</v>
      </c>
      <c r="R17" s="10">
        <f t="shared" si="13"/>
        <v>433.86873474468081</v>
      </c>
      <c r="S17" s="9">
        <f t="shared" si="14"/>
        <v>4.7217531332499991</v>
      </c>
      <c r="T17" s="9">
        <f t="shared" si="19"/>
        <v>10.549999999999999</v>
      </c>
    </row>
    <row r="18" spans="1:20" x14ac:dyDescent="0.2">
      <c r="B18" s="18">
        <f t="shared" si="16"/>
        <v>0.8</v>
      </c>
      <c r="C18" s="19">
        <f t="shared" si="1"/>
        <v>466.50806841392642</v>
      </c>
      <c r="D18" s="18">
        <f t="shared" si="2"/>
        <v>5.1052653038636358</v>
      </c>
      <c r="E18" s="18">
        <f t="shared" si="15"/>
        <v>11.828373902045454</v>
      </c>
      <c r="G18" s="20">
        <f t="shared" si="6"/>
        <v>0.8068383660227274</v>
      </c>
      <c r="H18" s="21">
        <f t="shared" si="17"/>
        <v>470</v>
      </c>
      <c r="I18" s="20">
        <f t="shared" si="7"/>
        <v>5.1462955000000008</v>
      </c>
      <c r="J18" s="20">
        <f t="shared" si="8"/>
        <v>11.965141222500002</v>
      </c>
      <c r="L18" s="13">
        <f t="shared" si="9"/>
        <v>0.74078911602272757</v>
      </c>
      <c r="M18" s="14">
        <f t="shared" si="10"/>
        <v>436.27272340425543</v>
      </c>
      <c r="N18" s="13">
        <f t="shared" si="18"/>
        <v>4.7500000000000018</v>
      </c>
      <c r="O18" s="13">
        <f t="shared" si="11"/>
        <v>10.644156222500007</v>
      </c>
      <c r="Q18" s="9">
        <f t="shared" si="12"/>
        <v>0.75358130489772723</v>
      </c>
      <c r="R18" s="10">
        <f t="shared" si="13"/>
        <v>442.80490495744675</v>
      </c>
      <c r="S18" s="9">
        <f t="shared" si="14"/>
        <v>4.8267531332499996</v>
      </c>
      <c r="T18" s="9">
        <f t="shared" si="19"/>
        <v>10.899999999999999</v>
      </c>
    </row>
    <row r="19" spans="1:20" x14ac:dyDescent="0.2">
      <c r="B19" s="18">
        <f t="shared" si="16"/>
        <v>0.82500000000000007</v>
      </c>
      <c r="C19" s="19">
        <f t="shared" si="1"/>
        <v>479.27402586073498</v>
      </c>
      <c r="D19" s="18">
        <f t="shared" si="2"/>
        <v>5.255265303863637</v>
      </c>
      <c r="E19" s="18">
        <f t="shared" si="15"/>
        <v>12.328373902045454</v>
      </c>
      <c r="G19" s="20">
        <f t="shared" si="6"/>
        <v>0.82642169935606069</v>
      </c>
      <c r="H19" s="21">
        <f t="shared" si="17"/>
        <v>480</v>
      </c>
      <c r="I19" s="20">
        <f t="shared" si="7"/>
        <v>5.2637955000000014</v>
      </c>
      <c r="J19" s="20">
        <f t="shared" si="8"/>
        <v>12.356807889166669</v>
      </c>
      <c r="L19" s="13">
        <f t="shared" si="9"/>
        <v>0.7657891160227277</v>
      </c>
      <c r="M19" s="14">
        <f t="shared" si="10"/>
        <v>449.03868085106393</v>
      </c>
      <c r="N19" s="13">
        <f t="shared" si="18"/>
        <v>4.9000000000000021</v>
      </c>
      <c r="O19" s="13">
        <f t="shared" si="11"/>
        <v>11.144156222500007</v>
      </c>
      <c r="Q19" s="9">
        <f t="shared" si="12"/>
        <v>0.7710813048977273</v>
      </c>
      <c r="R19" s="10">
        <f t="shared" si="13"/>
        <v>451.74107517021275</v>
      </c>
      <c r="S19" s="9">
        <f t="shared" si="14"/>
        <v>4.9317531332499991</v>
      </c>
      <c r="T19" s="9">
        <f t="shared" si="19"/>
        <v>11.249999999999998</v>
      </c>
    </row>
    <row r="20" spans="1:20" x14ac:dyDescent="0.2">
      <c r="B20" s="18">
        <f t="shared" si="16"/>
        <v>0.85000000000000009</v>
      </c>
      <c r="C20" s="19">
        <f t="shared" si="1"/>
        <v>492.03998330754342</v>
      </c>
      <c r="D20" s="18">
        <f t="shared" si="2"/>
        <v>5.4052653038636365</v>
      </c>
      <c r="E20" s="18">
        <f t="shared" si="15"/>
        <v>12.828373902045454</v>
      </c>
      <c r="G20" s="20">
        <f t="shared" si="6"/>
        <v>0.84600503268939409</v>
      </c>
      <c r="H20" s="21">
        <f t="shared" si="17"/>
        <v>490</v>
      </c>
      <c r="I20" s="20">
        <f t="shared" si="7"/>
        <v>5.3812955000000011</v>
      </c>
      <c r="J20" s="20">
        <f t="shared" si="8"/>
        <v>12.748474555833335</v>
      </c>
      <c r="L20" s="13">
        <f t="shared" si="9"/>
        <v>0.79078911602272772</v>
      </c>
      <c r="M20" s="14">
        <f t="shared" si="10"/>
        <v>461.80463829787243</v>
      </c>
      <c r="N20" s="13">
        <f t="shared" si="18"/>
        <v>5.0500000000000025</v>
      </c>
      <c r="O20" s="13">
        <f t="shared" si="11"/>
        <v>11.644156222500007</v>
      </c>
      <c r="Q20" s="9">
        <f t="shared" si="12"/>
        <v>0.78858130489772726</v>
      </c>
      <c r="R20" s="10">
        <f t="shared" si="13"/>
        <v>460.67724538297864</v>
      </c>
      <c r="S20" s="9">
        <f t="shared" si="14"/>
        <v>5.0367531332499995</v>
      </c>
      <c r="T20" s="9">
        <f t="shared" si="19"/>
        <v>11.599999999999998</v>
      </c>
    </row>
    <row r="21" spans="1:20" x14ac:dyDescent="0.2">
      <c r="B21" s="18">
        <f t="shared" si="16"/>
        <v>0.87500000000000011</v>
      </c>
      <c r="C21" s="19">
        <f t="shared" si="1"/>
        <v>504.80594075435204</v>
      </c>
      <c r="D21" s="18">
        <f t="shared" si="2"/>
        <v>5.5552653038636368</v>
      </c>
      <c r="E21" s="18">
        <f t="shared" si="15"/>
        <v>13.328373902045458</v>
      </c>
      <c r="G21" s="20">
        <f t="shared" si="6"/>
        <v>0.86558836602272737</v>
      </c>
      <c r="H21" s="21">
        <f t="shared" si="17"/>
        <v>500</v>
      </c>
      <c r="I21" s="20">
        <f t="shared" si="7"/>
        <v>5.4987955000000008</v>
      </c>
      <c r="J21" s="20">
        <f t="shared" si="8"/>
        <v>13.140141222500002</v>
      </c>
      <c r="L21" s="13">
        <f t="shared" si="9"/>
        <v>0.81578911602272763</v>
      </c>
      <c r="M21" s="14">
        <f t="shared" si="10"/>
        <v>474.57059574468099</v>
      </c>
      <c r="N21" s="13">
        <f t="shared" si="18"/>
        <v>5.2000000000000028</v>
      </c>
      <c r="O21" s="13">
        <f t="shared" si="11"/>
        <v>12.144156222500007</v>
      </c>
      <c r="Q21" s="9">
        <f t="shared" si="12"/>
        <v>0.80608130489772734</v>
      </c>
      <c r="R21" s="10">
        <f t="shared" si="13"/>
        <v>469.61341559574464</v>
      </c>
      <c r="S21" s="9">
        <f t="shared" si="14"/>
        <v>5.1417531332499991</v>
      </c>
      <c r="T21" s="9">
        <f t="shared" si="19"/>
        <v>11.949999999999998</v>
      </c>
    </row>
    <row r="22" spans="1:20" x14ac:dyDescent="0.2">
      <c r="B22" s="18"/>
      <c r="C22" s="19"/>
      <c r="D22" s="18"/>
      <c r="E22" s="18"/>
      <c r="G22" s="23"/>
      <c r="H22" s="23"/>
      <c r="I22" s="23"/>
      <c r="J22" s="23"/>
      <c r="L22" s="16"/>
      <c r="M22" s="16"/>
      <c r="N22" s="16"/>
      <c r="O22" s="16"/>
      <c r="Q22" s="12"/>
      <c r="R22" s="12"/>
      <c r="S22" s="12"/>
      <c r="T22" s="12"/>
    </row>
    <row r="23" spans="1:20" x14ac:dyDescent="0.2">
      <c r="B23" s="56" t="s">
        <v>2</v>
      </c>
      <c r="C23" s="56" t="s">
        <v>68</v>
      </c>
      <c r="D23" s="56" t="s">
        <v>4</v>
      </c>
      <c r="E23" s="56" t="s">
        <v>69</v>
      </c>
      <c r="G23" s="23"/>
      <c r="H23" s="23"/>
      <c r="I23" s="23"/>
      <c r="J23" s="23"/>
      <c r="L23" s="16"/>
      <c r="M23" s="16"/>
      <c r="N23" s="16"/>
      <c r="O23" s="16"/>
      <c r="Q23" s="12"/>
      <c r="R23" s="12"/>
      <c r="S23" s="12"/>
      <c r="T23" s="12"/>
    </row>
    <row r="24" spans="1:20" x14ac:dyDescent="0.2">
      <c r="A24" s="1" t="s">
        <v>72</v>
      </c>
      <c r="B24" s="57">
        <f>Conventional!$L$30</f>
        <v>405.14175482954545</v>
      </c>
      <c r="C24" s="57">
        <f>Conventional!$N$30</f>
        <v>537.53577500000006</v>
      </c>
      <c r="D24" s="57">
        <f>Conventional!$P$30</f>
        <v>288.44969545000004</v>
      </c>
      <c r="E24" s="57">
        <f>Conventional!$R$30</f>
        <v>190.82653642500003</v>
      </c>
      <c r="G24" s="23"/>
      <c r="H24" s="23"/>
      <c r="I24" s="23"/>
      <c r="J24" s="23"/>
      <c r="L24" s="16"/>
      <c r="M24" s="16"/>
      <c r="N24" s="16"/>
      <c r="O24" s="16"/>
      <c r="Q24" s="12"/>
      <c r="R24" s="12"/>
      <c r="S24" s="12"/>
      <c r="T24" s="12"/>
    </row>
    <row r="25" spans="1:20" x14ac:dyDescent="0.2">
      <c r="A25" s="1" t="s">
        <v>73</v>
      </c>
      <c r="B25" s="58">
        <f>Conventional!$L$7</f>
        <v>750</v>
      </c>
      <c r="C25" s="58">
        <f>Conventional!$N$7</f>
        <v>3400</v>
      </c>
      <c r="D25" s="58">
        <f>Conventional!$P$7</f>
        <v>85</v>
      </c>
      <c r="E25" s="58">
        <f>Conventional!$R$7</f>
        <v>30</v>
      </c>
      <c r="G25" s="23"/>
      <c r="H25" s="23"/>
      <c r="I25" s="23"/>
      <c r="J25" s="23"/>
      <c r="L25" s="16"/>
      <c r="M25" s="16"/>
      <c r="N25" s="16"/>
      <c r="O25" s="16"/>
      <c r="Q25" s="12"/>
      <c r="R25" s="12"/>
      <c r="S25" s="12"/>
      <c r="T25" s="12"/>
    </row>
    <row r="26" spans="1:20" s="6" customFormat="1" x14ac:dyDescent="0.2">
      <c r="B26" s="407" t="s">
        <v>74</v>
      </c>
      <c r="C26" s="407"/>
      <c r="D26" s="407"/>
      <c r="E26" s="407"/>
      <c r="F26" s="29"/>
      <c r="G26" s="408" t="s">
        <v>75</v>
      </c>
      <c r="H26" s="408"/>
      <c r="I26" s="408"/>
      <c r="J26" s="408"/>
      <c r="K26" s="29"/>
      <c r="L26" s="409" t="s">
        <v>76</v>
      </c>
      <c r="M26" s="409"/>
      <c r="N26" s="409"/>
      <c r="O26" s="409"/>
      <c r="P26" s="29"/>
      <c r="Q26" s="410" t="s">
        <v>77</v>
      </c>
      <c r="R26" s="410"/>
      <c r="S26" s="410"/>
      <c r="T26" s="410"/>
    </row>
    <row r="27" spans="1:20" s="8" customFormat="1" ht="38.25" x14ac:dyDescent="0.2">
      <c r="B27" s="25" t="s">
        <v>83</v>
      </c>
      <c r="C27" s="25" t="s">
        <v>80</v>
      </c>
      <c r="D27" s="25" t="s">
        <v>81</v>
      </c>
      <c r="E27" s="25" t="s">
        <v>82</v>
      </c>
      <c r="F27" s="30"/>
      <c r="G27" s="26" t="s">
        <v>83</v>
      </c>
      <c r="H27" s="26" t="s">
        <v>80</v>
      </c>
      <c r="I27" s="26" t="s">
        <v>81</v>
      </c>
      <c r="J27" s="26" t="s">
        <v>82</v>
      </c>
      <c r="K27" s="30"/>
      <c r="L27" s="27" t="s">
        <v>83</v>
      </c>
      <c r="M27" s="27" t="s">
        <v>80</v>
      </c>
      <c r="N27" s="27" t="s">
        <v>81</v>
      </c>
      <c r="O27" s="27" t="s">
        <v>82</v>
      </c>
      <c r="P27" s="30"/>
      <c r="Q27" s="28" t="s">
        <v>83</v>
      </c>
      <c r="R27" s="28" t="s">
        <v>80</v>
      </c>
      <c r="S27" s="28" t="s">
        <v>81</v>
      </c>
      <c r="T27" s="28" t="s">
        <v>82</v>
      </c>
    </row>
    <row r="28" spans="1:20" x14ac:dyDescent="0.2">
      <c r="B28" s="18">
        <f t="shared" ref="B28:B33" si="20">B29-0.025</f>
        <v>0.5249999999999998</v>
      </c>
      <c r="C28" s="19">
        <f t="shared" ref="C28:C42" si="21">(((B28*$B$25)-$B$24+$C$24)/$C$25)*2000</f>
        <v>309.49648245320856</v>
      </c>
      <c r="D28" s="18">
        <f t="shared" ref="D28:D42" si="22">(((B28*$B$25)-$B$24+$D$24)/$D$25)</f>
        <v>3.2595051837700519</v>
      </c>
      <c r="E28" s="18">
        <f t="shared" ref="E28:E42" si="23">(((B28*$B$25)-$B$24+$E$24)/$E$25)</f>
        <v>5.9811593865151469</v>
      </c>
      <c r="G28" s="20">
        <f>(((H28*$C$25/2000)-$C$24+$B$24)/$B$25)</f>
        <v>0.63947463977272723</v>
      </c>
      <c r="H28" s="21">
        <f t="shared" ref="H28:H33" si="24">H29-10</f>
        <v>360</v>
      </c>
      <c r="I28" s="20">
        <f>(((H28*$C$25/2000)-$C$24+$D$24)/$D$25)</f>
        <v>4.2695755347058819</v>
      </c>
      <c r="J28" s="20">
        <f>(((H28*$C$25/2000)-$C$24+$E$24)/$E$25)</f>
        <v>8.8430253808333319</v>
      </c>
      <c r="L28" s="17">
        <f>(((N28*$D$25)-$D$24+$B$24)/$B$25)</f>
        <v>0.50692274583939401</v>
      </c>
      <c r="M28" s="14">
        <f>(((N28*$D$25)-$D$24+$C$24)/$C$25)*2000</f>
        <v>301.5212232647059</v>
      </c>
      <c r="N28" s="13">
        <f t="shared" ref="N28:N33" si="25">N29-0.15</f>
        <v>3.1000000000000005</v>
      </c>
      <c r="O28" s="13">
        <f>(((N28*$D$25)-$D$24+$E$24)/$E$25)</f>
        <v>5.5292280325000016</v>
      </c>
      <c r="Q28" s="9">
        <f>(((T28*$E$25)-$E$24+$B$24)/$B$25)</f>
        <v>0.56775362453939393</v>
      </c>
      <c r="R28" s="10">
        <f>(((T28*$E$25)-$E$24+$C$24)/$C$25)*2000</f>
        <v>328.35837563235299</v>
      </c>
      <c r="S28" s="9">
        <f>(((T28*$E$25)-$E$24+$D$24)/$D$25)</f>
        <v>3.6367430473529421</v>
      </c>
      <c r="T28" s="9">
        <f t="shared" ref="T28:T33" si="26">T29-0.35</f>
        <v>7.0500000000000025</v>
      </c>
    </row>
    <row r="29" spans="1:20" x14ac:dyDescent="0.2">
      <c r="B29" s="18">
        <f t="shared" si="20"/>
        <v>0.54999999999999982</v>
      </c>
      <c r="C29" s="19">
        <f t="shared" si="21"/>
        <v>320.52589421791441</v>
      </c>
      <c r="D29" s="18">
        <f t="shared" si="22"/>
        <v>3.4800934190641701</v>
      </c>
      <c r="E29" s="18">
        <f t="shared" si="23"/>
        <v>6.6061593865151487</v>
      </c>
      <c r="G29" s="20">
        <f t="shared" ref="G29:G42" si="27">(((H29*$C$25/2000)-$C$24+$B$24)/$B$25)</f>
        <v>0.66214130643939384</v>
      </c>
      <c r="H29" s="21">
        <f t="shared" si="24"/>
        <v>370</v>
      </c>
      <c r="I29" s="20">
        <f t="shared" ref="I29:I42" si="28">(((H29*$C$25/2000)-$C$24+$D$24)/$D$25)</f>
        <v>4.4695755347058821</v>
      </c>
      <c r="J29" s="20">
        <f t="shared" ref="J29:J42" si="29">(((H29*$C$25/2000)-$C$24+$E$24)/$E$25)</f>
        <v>9.4096920474999983</v>
      </c>
      <c r="L29" s="17">
        <f t="shared" ref="L29:L42" si="30">(((N29*$D$25)-$D$24+$B$24)/$B$25)</f>
        <v>0.52392274583939391</v>
      </c>
      <c r="M29" s="14">
        <f t="shared" ref="M29:M42" si="31">(((N29*$D$25)-$D$24+$C$24)/$C$25)*2000</f>
        <v>309.0212232647059</v>
      </c>
      <c r="N29" s="13">
        <f t="shared" si="25"/>
        <v>3.2500000000000004</v>
      </c>
      <c r="O29" s="13">
        <f t="shared" ref="O29:O42" si="32">(((N29*$D$25)-$D$24+$E$24)/$E$25)</f>
        <v>5.9542280325000014</v>
      </c>
      <c r="Q29" s="9">
        <f t="shared" ref="Q29:Q42" si="33">(((T29*$E$25)-$E$24+$B$24)/$B$25)</f>
        <v>0.58175362453939394</v>
      </c>
      <c r="R29" s="10">
        <f t="shared" ref="R29:R42" si="34">(((T29*$E$25)-$E$24+$C$24)/$C$25)*2000</f>
        <v>334.53484622058829</v>
      </c>
      <c r="S29" s="9">
        <f t="shared" ref="S29:S42" si="35">(((T29*$E$25)-$E$24+$D$24)/$D$25)</f>
        <v>3.760272459117648</v>
      </c>
      <c r="T29" s="9">
        <f t="shared" si="26"/>
        <v>7.4000000000000021</v>
      </c>
    </row>
    <row r="30" spans="1:20" x14ac:dyDescent="0.2">
      <c r="B30" s="18">
        <f t="shared" si="20"/>
        <v>0.57499999999999984</v>
      </c>
      <c r="C30" s="19">
        <f t="shared" si="21"/>
        <v>331.55530598262027</v>
      </c>
      <c r="D30" s="18">
        <f t="shared" si="22"/>
        <v>3.7006816543582879</v>
      </c>
      <c r="E30" s="18">
        <f t="shared" si="23"/>
        <v>7.2311593865151487</v>
      </c>
      <c r="G30" s="20">
        <f t="shared" si="27"/>
        <v>0.68480797310606056</v>
      </c>
      <c r="H30" s="21">
        <f t="shared" si="24"/>
        <v>380</v>
      </c>
      <c r="I30" s="20">
        <f t="shared" si="28"/>
        <v>4.6695755347058823</v>
      </c>
      <c r="J30" s="20">
        <f t="shared" si="29"/>
        <v>9.9763587141666665</v>
      </c>
      <c r="L30" s="17">
        <f t="shared" si="30"/>
        <v>0.54092274583939393</v>
      </c>
      <c r="M30" s="14">
        <f t="shared" si="31"/>
        <v>316.5212232647059</v>
      </c>
      <c r="N30" s="13">
        <f t="shared" si="25"/>
        <v>3.4000000000000004</v>
      </c>
      <c r="O30" s="13">
        <f t="shared" si="32"/>
        <v>6.3792280325000013</v>
      </c>
      <c r="Q30" s="9">
        <f t="shared" si="33"/>
        <v>0.59575362453939396</v>
      </c>
      <c r="R30" s="10">
        <f t="shared" si="34"/>
        <v>340.7113168088236</v>
      </c>
      <c r="S30" s="9">
        <f t="shared" si="35"/>
        <v>3.8838018708823538</v>
      </c>
      <c r="T30" s="9">
        <f t="shared" si="26"/>
        <v>7.7500000000000018</v>
      </c>
    </row>
    <row r="31" spans="1:20" x14ac:dyDescent="0.2">
      <c r="B31" s="18">
        <f t="shared" si="20"/>
        <v>0.59999999999999987</v>
      </c>
      <c r="C31" s="19">
        <f t="shared" si="21"/>
        <v>342.58471774732618</v>
      </c>
      <c r="D31" s="18">
        <f t="shared" si="22"/>
        <v>3.9212698896524056</v>
      </c>
      <c r="E31" s="18">
        <f t="shared" si="23"/>
        <v>7.8561593865151487</v>
      </c>
      <c r="G31" s="20">
        <f t="shared" si="27"/>
        <v>0.70747463977272718</v>
      </c>
      <c r="H31" s="21">
        <f t="shared" si="24"/>
        <v>390</v>
      </c>
      <c r="I31" s="20">
        <f t="shared" si="28"/>
        <v>4.8695755347058824</v>
      </c>
      <c r="J31" s="20">
        <f t="shared" si="29"/>
        <v>10.543025380833333</v>
      </c>
      <c r="L31" s="17">
        <f t="shared" si="30"/>
        <v>0.55792274583939383</v>
      </c>
      <c r="M31" s="14">
        <f t="shared" si="31"/>
        <v>324.0212232647059</v>
      </c>
      <c r="N31" s="13">
        <f t="shared" si="25"/>
        <v>3.5500000000000003</v>
      </c>
      <c r="O31" s="13">
        <f t="shared" si="32"/>
        <v>6.8042280325000002</v>
      </c>
      <c r="Q31" s="9">
        <f t="shared" si="33"/>
        <v>0.60975362453939397</v>
      </c>
      <c r="R31" s="10">
        <f t="shared" si="34"/>
        <v>346.8877873970589</v>
      </c>
      <c r="S31" s="9">
        <f t="shared" si="35"/>
        <v>4.0073312826470593</v>
      </c>
      <c r="T31" s="9">
        <f t="shared" si="26"/>
        <v>8.1000000000000014</v>
      </c>
    </row>
    <row r="32" spans="1:20" x14ac:dyDescent="0.2">
      <c r="B32" s="18">
        <f t="shared" si="20"/>
        <v>0.62499999999999989</v>
      </c>
      <c r="C32" s="19">
        <f t="shared" si="21"/>
        <v>353.61412951203209</v>
      </c>
      <c r="D32" s="18">
        <f t="shared" si="22"/>
        <v>4.1418581249465243</v>
      </c>
      <c r="E32" s="18">
        <f t="shared" si="23"/>
        <v>8.4811593865151504</v>
      </c>
      <c r="G32" s="20">
        <f t="shared" si="27"/>
        <v>0.7301413064393939</v>
      </c>
      <c r="H32" s="21">
        <f t="shared" si="24"/>
        <v>400</v>
      </c>
      <c r="I32" s="20">
        <f t="shared" si="28"/>
        <v>5.0695755347058817</v>
      </c>
      <c r="J32" s="20">
        <f t="shared" si="29"/>
        <v>11.109692047499999</v>
      </c>
      <c r="L32" s="17">
        <f t="shared" si="30"/>
        <v>0.57492274583939385</v>
      </c>
      <c r="M32" s="14">
        <f t="shared" si="31"/>
        <v>331.5212232647059</v>
      </c>
      <c r="N32" s="13">
        <f t="shared" si="25"/>
        <v>3.7</v>
      </c>
      <c r="O32" s="13">
        <f t="shared" si="32"/>
        <v>7.2292280325</v>
      </c>
      <c r="Q32" s="9">
        <f t="shared" si="33"/>
        <v>0.62375362453939398</v>
      </c>
      <c r="R32" s="10">
        <f t="shared" si="34"/>
        <v>353.06425798529415</v>
      </c>
      <c r="S32" s="9">
        <f t="shared" si="35"/>
        <v>4.1308606944117656</v>
      </c>
      <c r="T32" s="9">
        <f t="shared" si="26"/>
        <v>8.4500000000000011</v>
      </c>
    </row>
    <row r="33" spans="1:20" x14ac:dyDescent="0.2">
      <c r="B33" s="18">
        <f t="shared" si="20"/>
        <v>0.64999999999999991</v>
      </c>
      <c r="C33" s="19">
        <f t="shared" si="21"/>
        <v>364.64354127673795</v>
      </c>
      <c r="D33" s="18">
        <f t="shared" si="22"/>
        <v>4.3624463602406411</v>
      </c>
      <c r="E33" s="18">
        <f t="shared" si="23"/>
        <v>9.1061593865151504</v>
      </c>
      <c r="G33" s="20">
        <f t="shared" si="27"/>
        <v>0.75280797310606051</v>
      </c>
      <c r="H33" s="21">
        <f t="shared" si="24"/>
        <v>410</v>
      </c>
      <c r="I33" s="20">
        <f t="shared" si="28"/>
        <v>5.2695755347058819</v>
      </c>
      <c r="J33" s="20">
        <f t="shared" si="29"/>
        <v>11.676358714166666</v>
      </c>
      <c r="L33" s="17">
        <f t="shared" si="30"/>
        <v>0.59192274583939386</v>
      </c>
      <c r="M33" s="14">
        <f t="shared" si="31"/>
        <v>339.0212232647059</v>
      </c>
      <c r="N33" s="13">
        <f t="shared" si="25"/>
        <v>3.85</v>
      </c>
      <c r="O33" s="13">
        <f t="shared" si="32"/>
        <v>7.6542280324999998</v>
      </c>
      <c r="Q33" s="9">
        <f t="shared" si="33"/>
        <v>0.63775362453939388</v>
      </c>
      <c r="R33" s="10">
        <f t="shared" si="34"/>
        <v>359.2407285735294</v>
      </c>
      <c r="S33" s="9">
        <f t="shared" si="35"/>
        <v>4.2543901061764711</v>
      </c>
      <c r="T33" s="9">
        <f t="shared" si="26"/>
        <v>8.8000000000000007</v>
      </c>
    </row>
    <row r="34" spans="1:20" ht="13.5" thickBot="1" x14ac:dyDescent="0.25">
      <c r="B34" s="18">
        <f>B35-0.025</f>
        <v>0.67499999999999993</v>
      </c>
      <c r="C34" s="19">
        <f t="shared" si="21"/>
        <v>375.6729530414438</v>
      </c>
      <c r="D34" s="18">
        <f t="shared" si="22"/>
        <v>4.5830345955347589</v>
      </c>
      <c r="E34" s="18">
        <f t="shared" si="23"/>
        <v>9.7311593865151504</v>
      </c>
      <c r="G34" s="20">
        <f t="shared" si="27"/>
        <v>0.77547463977272724</v>
      </c>
      <c r="H34" s="21">
        <f>H35-10</f>
        <v>420</v>
      </c>
      <c r="I34" s="20">
        <f t="shared" si="28"/>
        <v>5.4695755347058821</v>
      </c>
      <c r="J34" s="20">
        <f t="shared" si="29"/>
        <v>12.243025380833332</v>
      </c>
      <c r="L34" s="17">
        <f t="shared" si="30"/>
        <v>0.60892274583939388</v>
      </c>
      <c r="M34" s="14">
        <f t="shared" si="31"/>
        <v>346.5212232647059</v>
      </c>
      <c r="N34" s="13">
        <f>N35-0.15</f>
        <v>4</v>
      </c>
      <c r="O34" s="13">
        <f t="shared" si="32"/>
        <v>8.0792280324999997</v>
      </c>
      <c r="Q34" s="9">
        <f t="shared" si="33"/>
        <v>0.65175362453939389</v>
      </c>
      <c r="R34" s="10">
        <f t="shared" si="34"/>
        <v>365.4171991617647</v>
      </c>
      <c r="S34" s="9">
        <f t="shared" si="35"/>
        <v>4.3779195179411765</v>
      </c>
      <c r="T34" s="9">
        <f>T35-0.35</f>
        <v>9.15</v>
      </c>
    </row>
    <row r="35" spans="1:20" ht="13.5" thickBot="1" x14ac:dyDescent="0.25">
      <c r="B35" s="24">
        <f>Conventional!$B$8</f>
        <v>0.7</v>
      </c>
      <c r="C35" s="19">
        <f t="shared" si="21"/>
        <v>386.70236480614977</v>
      </c>
      <c r="D35" s="18">
        <f t="shared" si="22"/>
        <v>4.8036228308288775</v>
      </c>
      <c r="E35" s="18">
        <f t="shared" si="23"/>
        <v>10.356159386515152</v>
      </c>
      <c r="G35" s="20">
        <f t="shared" si="27"/>
        <v>0.79814130643939385</v>
      </c>
      <c r="H35" s="22">
        <f>Conventional!$D$8</f>
        <v>430</v>
      </c>
      <c r="I35" s="20">
        <f t="shared" si="28"/>
        <v>5.6695755347058823</v>
      </c>
      <c r="J35" s="20">
        <f t="shared" si="29"/>
        <v>12.809692047499999</v>
      </c>
      <c r="L35" s="17">
        <f t="shared" si="30"/>
        <v>0.625922745839394</v>
      </c>
      <c r="M35" s="14">
        <f t="shared" si="31"/>
        <v>354.0212232647059</v>
      </c>
      <c r="N35" s="15">
        <f>Conventional!$F$8</f>
        <v>4.1500000000000004</v>
      </c>
      <c r="O35" s="13">
        <f t="shared" si="32"/>
        <v>8.5042280325000021</v>
      </c>
      <c r="Q35" s="9">
        <f t="shared" si="33"/>
        <v>0.66575362453939391</v>
      </c>
      <c r="R35" s="10">
        <f t="shared" si="34"/>
        <v>371.59366974999995</v>
      </c>
      <c r="S35" s="9">
        <f t="shared" si="35"/>
        <v>4.5014489297058828</v>
      </c>
      <c r="T35" s="11">
        <f>Conventional!$H$8</f>
        <v>9.5</v>
      </c>
    </row>
    <row r="36" spans="1:20" x14ac:dyDescent="0.2">
      <c r="B36" s="18">
        <f>B35+0.025</f>
        <v>0.72499999999999998</v>
      </c>
      <c r="C36" s="19">
        <f t="shared" si="21"/>
        <v>397.73177657085569</v>
      </c>
      <c r="D36" s="18">
        <f t="shared" si="22"/>
        <v>5.0242110661229953</v>
      </c>
      <c r="E36" s="18">
        <f t="shared" si="23"/>
        <v>10.981159386515152</v>
      </c>
      <c r="G36" s="20">
        <f t="shared" si="27"/>
        <v>0.82080797310606057</v>
      </c>
      <c r="H36" s="21">
        <f>H35+10</f>
        <v>440</v>
      </c>
      <c r="I36" s="20">
        <f t="shared" si="28"/>
        <v>5.8695755347058824</v>
      </c>
      <c r="J36" s="20">
        <f t="shared" si="29"/>
        <v>13.376358714166665</v>
      </c>
      <c r="L36" s="17">
        <f t="shared" si="30"/>
        <v>0.64292274583939391</v>
      </c>
      <c r="M36" s="14">
        <f t="shared" si="31"/>
        <v>361.5212232647059</v>
      </c>
      <c r="N36" s="13">
        <f>N35+0.15</f>
        <v>4.3000000000000007</v>
      </c>
      <c r="O36" s="13">
        <f t="shared" si="32"/>
        <v>8.9292280325000011</v>
      </c>
      <c r="Q36" s="9">
        <f t="shared" si="33"/>
        <v>0.67975362453939392</v>
      </c>
      <c r="R36" s="10">
        <f t="shared" si="34"/>
        <v>377.77014033823531</v>
      </c>
      <c r="S36" s="9">
        <f t="shared" si="35"/>
        <v>4.6249783414705883</v>
      </c>
      <c r="T36" s="9">
        <f>T35+0.35</f>
        <v>9.85</v>
      </c>
    </row>
    <row r="37" spans="1:20" x14ac:dyDescent="0.2">
      <c r="B37" s="18">
        <f t="shared" ref="B37:B42" si="36">B36+0.025</f>
        <v>0.75</v>
      </c>
      <c r="C37" s="19">
        <f t="shared" si="21"/>
        <v>408.76118833556154</v>
      </c>
      <c r="D37" s="18">
        <f t="shared" si="22"/>
        <v>5.244799301417113</v>
      </c>
      <c r="E37" s="18">
        <f t="shared" si="23"/>
        <v>11.606159386515152</v>
      </c>
      <c r="G37" s="20">
        <f t="shared" si="27"/>
        <v>0.84347463977272719</v>
      </c>
      <c r="H37" s="21">
        <f t="shared" ref="H37:H42" si="37">H36+10</f>
        <v>450</v>
      </c>
      <c r="I37" s="20">
        <f t="shared" si="28"/>
        <v>6.0695755347058817</v>
      </c>
      <c r="J37" s="20">
        <f t="shared" si="29"/>
        <v>13.943025380833332</v>
      </c>
      <c r="L37" s="17">
        <f t="shared" si="30"/>
        <v>0.65992274583939403</v>
      </c>
      <c r="M37" s="14">
        <f t="shared" si="31"/>
        <v>369.02122326470601</v>
      </c>
      <c r="N37" s="13">
        <f t="shared" ref="N37:N42" si="38">N36+0.15</f>
        <v>4.4500000000000011</v>
      </c>
      <c r="O37" s="13">
        <f t="shared" si="32"/>
        <v>9.3542280325000036</v>
      </c>
      <c r="Q37" s="9">
        <f t="shared" si="33"/>
        <v>0.69375362453939393</v>
      </c>
      <c r="R37" s="10">
        <f t="shared" si="34"/>
        <v>383.94661092647061</v>
      </c>
      <c r="S37" s="9">
        <f t="shared" si="35"/>
        <v>4.7485077532352946</v>
      </c>
      <c r="T37" s="9">
        <f t="shared" ref="T37:T42" si="39">T36+0.35</f>
        <v>10.199999999999999</v>
      </c>
    </row>
    <row r="38" spans="1:20" x14ac:dyDescent="0.2">
      <c r="B38" s="18">
        <f t="shared" si="36"/>
        <v>0.77500000000000002</v>
      </c>
      <c r="C38" s="19">
        <f t="shared" si="21"/>
        <v>419.7906001002674</v>
      </c>
      <c r="D38" s="18">
        <f t="shared" si="22"/>
        <v>5.4653875367112308</v>
      </c>
      <c r="E38" s="18">
        <f t="shared" si="23"/>
        <v>12.231159386515152</v>
      </c>
      <c r="G38" s="20">
        <f t="shared" si="27"/>
        <v>0.8661413064393938</v>
      </c>
      <c r="H38" s="21">
        <f t="shared" si="37"/>
        <v>460</v>
      </c>
      <c r="I38" s="20">
        <f t="shared" si="28"/>
        <v>6.2695755347058819</v>
      </c>
      <c r="J38" s="20">
        <f t="shared" si="29"/>
        <v>14.5096920475</v>
      </c>
      <c r="L38" s="17">
        <f t="shared" si="30"/>
        <v>0.67692274583939405</v>
      </c>
      <c r="M38" s="14">
        <f t="shared" si="31"/>
        <v>376.52122326470595</v>
      </c>
      <c r="N38" s="13">
        <f t="shared" si="38"/>
        <v>4.6000000000000014</v>
      </c>
      <c r="O38" s="13">
        <f t="shared" si="32"/>
        <v>9.7792280325000043</v>
      </c>
      <c r="Q38" s="9">
        <f t="shared" si="33"/>
        <v>0.70775362453939383</v>
      </c>
      <c r="R38" s="10">
        <f t="shared" si="34"/>
        <v>390.12308151470586</v>
      </c>
      <c r="S38" s="9">
        <f t="shared" si="35"/>
        <v>4.8720371649999992</v>
      </c>
      <c r="T38" s="9">
        <f t="shared" si="39"/>
        <v>10.549999999999999</v>
      </c>
    </row>
    <row r="39" spans="1:20" x14ac:dyDescent="0.2">
      <c r="B39" s="18">
        <f t="shared" si="36"/>
        <v>0.8</v>
      </c>
      <c r="C39" s="19">
        <f t="shared" si="21"/>
        <v>430.82001186497331</v>
      </c>
      <c r="D39" s="18">
        <f t="shared" si="22"/>
        <v>5.6859757720053477</v>
      </c>
      <c r="E39" s="18">
        <f t="shared" si="23"/>
        <v>12.856159386515152</v>
      </c>
      <c r="G39" s="20">
        <f t="shared" si="27"/>
        <v>0.88880797310606052</v>
      </c>
      <c r="H39" s="21">
        <f t="shared" si="37"/>
        <v>470</v>
      </c>
      <c r="I39" s="20">
        <f t="shared" si="28"/>
        <v>6.4695755347058821</v>
      </c>
      <c r="J39" s="20">
        <f t="shared" si="29"/>
        <v>15.076358714166666</v>
      </c>
      <c r="L39" s="17">
        <f t="shared" si="30"/>
        <v>0.69392274583939406</v>
      </c>
      <c r="M39" s="14">
        <f t="shared" si="31"/>
        <v>384.02122326470601</v>
      </c>
      <c r="N39" s="13">
        <f t="shared" si="38"/>
        <v>4.7500000000000018</v>
      </c>
      <c r="O39" s="13">
        <f t="shared" si="32"/>
        <v>10.204228032500005</v>
      </c>
      <c r="Q39" s="9">
        <f t="shared" si="33"/>
        <v>0.72175362453939385</v>
      </c>
      <c r="R39" s="10">
        <f t="shared" si="34"/>
        <v>396.29955210294116</v>
      </c>
      <c r="S39" s="9">
        <f t="shared" si="35"/>
        <v>4.9955665767647055</v>
      </c>
      <c r="T39" s="9">
        <f t="shared" si="39"/>
        <v>10.899999999999999</v>
      </c>
    </row>
    <row r="40" spans="1:20" x14ac:dyDescent="0.2">
      <c r="B40" s="18">
        <f t="shared" si="36"/>
        <v>0.82500000000000007</v>
      </c>
      <c r="C40" s="19">
        <f t="shared" si="21"/>
        <v>441.84942362967917</v>
      </c>
      <c r="D40" s="18">
        <f t="shared" si="22"/>
        <v>5.9065640072994654</v>
      </c>
      <c r="E40" s="18">
        <f t="shared" si="23"/>
        <v>13.481159386515152</v>
      </c>
      <c r="G40" s="20">
        <f t="shared" si="27"/>
        <v>0.91147463977272714</v>
      </c>
      <c r="H40" s="21">
        <f t="shared" si="37"/>
        <v>480</v>
      </c>
      <c r="I40" s="20">
        <f t="shared" si="28"/>
        <v>6.6695755347058823</v>
      </c>
      <c r="J40" s="20">
        <f t="shared" si="29"/>
        <v>15.643025380833333</v>
      </c>
      <c r="L40" s="17">
        <f t="shared" si="30"/>
        <v>0.71092274583939408</v>
      </c>
      <c r="M40" s="14">
        <f t="shared" si="31"/>
        <v>391.52122326470601</v>
      </c>
      <c r="N40" s="13">
        <f t="shared" si="38"/>
        <v>4.9000000000000021</v>
      </c>
      <c r="O40" s="13">
        <f t="shared" si="32"/>
        <v>10.629228032500006</v>
      </c>
      <c r="Q40" s="9">
        <f t="shared" si="33"/>
        <v>0.73575362453939386</v>
      </c>
      <c r="R40" s="10">
        <f t="shared" si="34"/>
        <v>402.47602269117641</v>
      </c>
      <c r="S40" s="9">
        <f t="shared" si="35"/>
        <v>5.1190959885294109</v>
      </c>
      <c r="T40" s="9">
        <f t="shared" si="39"/>
        <v>11.249999999999998</v>
      </c>
    </row>
    <row r="41" spans="1:20" x14ac:dyDescent="0.2">
      <c r="A41" s="2"/>
      <c r="B41" s="37">
        <f t="shared" si="36"/>
        <v>0.85000000000000009</v>
      </c>
      <c r="C41" s="38">
        <f t="shared" si="21"/>
        <v>452.87883539438513</v>
      </c>
      <c r="D41" s="37">
        <f t="shared" si="22"/>
        <v>6.1271522425935849</v>
      </c>
      <c r="E41" s="37">
        <f t="shared" si="23"/>
        <v>14.106159386515156</v>
      </c>
      <c r="G41" s="39">
        <f t="shared" si="27"/>
        <v>0.93414130643939386</v>
      </c>
      <c r="H41" s="40">
        <f t="shared" si="37"/>
        <v>490</v>
      </c>
      <c r="I41" s="39">
        <f t="shared" si="28"/>
        <v>6.8695755347058824</v>
      </c>
      <c r="J41" s="39">
        <f t="shared" si="29"/>
        <v>16.209692047499999</v>
      </c>
      <c r="L41" s="41">
        <f t="shared" si="30"/>
        <v>0.7279227458393942</v>
      </c>
      <c r="M41" s="42">
        <f t="shared" si="31"/>
        <v>399.02122326470601</v>
      </c>
      <c r="N41" s="43">
        <f t="shared" si="38"/>
        <v>5.0500000000000025</v>
      </c>
      <c r="O41" s="43">
        <f t="shared" si="32"/>
        <v>11.054228032500008</v>
      </c>
      <c r="Q41" s="44">
        <f t="shared" si="33"/>
        <v>0.74975362453939387</v>
      </c>
      <c r="R41" s="45">
        <f t="shared" si="34"/>
        <v>408.65249327941171</v>
      </c>
      <c r="S41" s="44">
        <f t="shared" si="35"/>
        <v>5.2426254002941173</v>
      </c>
      <c r="T41" s="44">
        <f t="shared" si="39"/>
        <v>11.599999999999998</v>
      </c>
    </row>
    <row r="42" spans="1:20" x14ac:dyDescent="0.2">
      <c r="A42" s="46"/>
      <c r="B42" s="47">
        <f t="shared" si="36"/>
        <v>0.87500000000000011</v>
      </c>
      <c r="C42" s="48">
        <f t="shared" si="21"/>
        <v>463.90824715909099</v>
      </c>
      <c r="D42" s="47">
        <f t="shared" si="22"/>
        <v>6.3477404778877027</v>
      </c>
      <c r="E42" s="47">
        <f t="shared" si="23"/>
        <v>14.731159386515156</v>
      </c>
      <c r="F42" s="46"/>
      <c r="G42" s="49">
        <f t="shared" si="27"/>
        <v>0.95680797310606047</v>
      </c>
      <c r="H42" s="50">
        <f t="shared" si="37"/>
        <v>500</v>
      </c>
      <c r="I42" s="49">
        <f t="shared" si="28"/>
        <v>7.0695755347058817</v>
      </c>
      <c r="J42" s="49">
        <f t="shared" si="29"/>
        <v>16.776358714166665</v>
      </c>
      <c r="K42" s="46"/>
      <c r="L42" s="51">
        <f t="shared" si="30"/>
        <v>0.74492274583939422</v>
      </c>
      <c r="M42" s="52">
        <f t="shared" si="31"/>
        <v>406.52122326470601</v>
      </c>
      <c r="N42" s="53">
        <f t="shared" si="38"/>
        <v>5.2000000000000028</v>
      </c>
      <c r="O42" s="53">
        <f t="shared" si="32"/>
        <v>11.479228032500007</v>
      </c>
      <c r="P42" s="46"/>
      <c r="Q42" s="54">
        <f t="shared" si="33"/>
        <v>0.76375362453939377</v>
      </c>
      <c r="R42" s="55">
        <f t="shared" si="34"/>
        <v>414.82896386764708</v>
      </c>
      <c r="S42" s="54">
        <f t="shared" si="35"/>
        <v>5.3661548120588227</v>
      </c>
      <c r="T42" s="54">
        <f t="shared" si="39"/>
        <v>11.949999999999998</v>
      </c>
    </row>
    <row r="43" spans="1:20" x14ac:dyDescent="0.2">
      <c r="A43" s="406" t="s">
        <v>84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</row>
    <row r="44" spans="1:20" x14ac:dyDescent="0.2">
      <c r="B44" s="3" t="s">
        <v>2</v>
      </c>
      <c r="C44" s="3" t="s">
        <v>68</v>
      </c>
      <c r="D44" s="3" t="s">
        <v>4</v>
      </c>
      <c r="E44" s="3" t="s">
        <v>69</v>
      </c>
    </row>
    <row r="45" spans="1:20" x14ac:dyDescent="0.2">
      <c r="A45" s="1" t="s">
        <v>70</v>
      </c>
      <c r="B45" s="4">
        <f>'Strip-Till'!B$31</f>
        <v>503.40583422727275</v>
      </c>
      <c r="C45" s="4">
        <f>'Strip-Till'!D$31</f>
        <v>618.53767500000004</v>
      </c>
      <c r="D45" s="4">
        <f>'Strip-Till'!F$31</f>
        <v>553.66307500000005</v>
      </c>
      <c r="E45" s="4">
        <f>'Strip-Till'!H$31</f>
        <v>250.94414834999998</v>
      </c>
    </row>
    <row r="46" spans="1:20" x14ac:dyDescent="0.2">
      <c r="A46" s="1" t="s">
        <v>71</v>
      </c>
      <c r="B46" s="5">
        <f>'Strip-Till'!B$7</f>
        <v>1200</v>
      </c>
      <c r="C46" s="5">
        <f>'Strip-Till'!D$7</f>
        <v>4700</v>
      </c>
      <c r="D46" s="5">
        <f>'Strip-Till'!F$7</f>
        <v>200</v>
      </c>
      <c r="E46" s="5">
        <f>'Strip-Till'!H$7</f>
        <v>60</v>
      </c>
    </row>
    <row r="47" spans="1:20" x14ac:dyDescent="0.2">
      <c r="A47" s="6"/>
      <c r="B47" s="407" t="s">
        <v>74</v>
      </c>
      <c r="C47" s="407"/>
      <c r="D47" s="407"/>
      <c r="E47" s="407"/>
      <c r="F47" s="29"/>
      <c r="G47" s="408" t="s">
        <v>75</v>
      </c>
      <c r="H47" s="408"/>
      <c r="I47" s="408"/>
      <c r="J47" s="408"/>
      <c r="K47" s="29"/>
      <c r="L47" s="409" t="s">
        <v>76</v>
      </c>
      <c r="M47" s="409"/>
      <c r="N47" s="409"/>
      <c r="O47" s="409"/>
      <c r="P47" s="29"/>
      <c r="Q47" s="410" t="s">
        <v>77</v>
      </c>
      <c r="R47" s="410"/>
      <c r="S47" s="410"/>
      <c r="T47" s="410"/>
    </row>
    <row r="48" spans="1:20" ht="25.5" x14ac:dyDescent="0.2">
      <c r="A48" s="7"/>
      <c r="B48" s="25" t="s">
        <v>50</v>
      </c>
      <c r="C48" s="35" t="s">
        <v>78</v>
      </c>
      <c r="D48" s="35" t="s">
        <v>47</v>
      </c>
      <c r="E48" s="35" t="s">
        <v>79</v>
      </c>
      <c r="F48" s="31"/>
      <c r="G48" s="34" t="s">
        <v>50</v>
      </c>
      <c r="H48" s="26" t="s">
        <v>78</v>
      </c>
      <c r="I48" s="34" t="s">
        <v>47</v>
      </c>
      <c r="J48" s="34" t="s">
        <v>79</v>
      </c>
      <c r="K48" s="31"/>
      <c r="L48" s="33" t="s">
        <v>50</v>
      </c>
      <c r="M48" s="33" t="s">
        <v>78</v>
      </c>
      <c r="N48" s="27" t="s">
        <v>47</v>
      </c>
      <c r="O48" s="33" t="s">
        <v>79</v>
      </c>
      <c r="P48" s="31"/>
      <c r="Q48" s="32" t="s">
        <v>50</v>
      </c>
      <c r="R48" s="32" t="s">
        <v>78</v>
      </c>
      <c r="S48" s="28" t="s">
        <v>47</v>
      </c>
      <c r="T48" s="32" t="s">
        <v>79</v>
      </c>
    </row>
    <row r="49" spans="2:20" x14ac:dyDescent="0.2">
      <c r="B49" s="18">
        <f t="shared" ref="B49:B54" si="40">B50-0.025</f>
        <v>0.5249999999999998</v>
      </c>
      <c r="C49" s="19">
        <f>(((B49*$B$46)-$B$45+$C$45)/$C$46)*2000</f>
        <v>317.07737905222427</v>
      </c>
      <c r="D49" s="18">
        <f>(((B49*$B$46)-$B$45+$D$45)/$D$46)</f>
        <v>3.4012862038636356</v>
      </c>
      <c r="E49" s="18">
        <f>(((B49*$B$46)-$B$45+$E$45)/$E$46)</f>
        <v>6.2923052353787829</v>
      </c>
      <c r="G49" s="20">
        <f>(((H49*$C$46/2000)-$C$45+$B$45)/$B$46)</f>
        <v>0.60905679935606061</v>
      </c>
      <c r="H49" s="21">
        <f t="shared" ref="H49:H54" si="41">H50-10</f>
        <v>360</v>
      </c>
      <c r="I49" s="20">
        <f>(((H49*$C$46/2000)-$C$45+$D$45)/$D$46)</f>
        <v>3.905627</v>
      </c>
      <c r="J49" s="20">
        <f>(((H49*$C$46/2000)-$C$45+$E$45)/$E$46)</f>
        <v>7.9734412224999991</v>
      </c>
      <c r="L49" s="17">
        <f>(((N49*$D$46)-$D$45+$B$45)/$B$46)</f>
        <v>0.474785632689394</v>
      </c>
      <c r="M49" s="14">
        <f>(((N49*$D$46)-$D$45+$C$45)/$C$46)*2000</f>
        <v>291.43600000000004</v>
      </c>
      <c r="N49" s="13">
        <f t="shared" ref="N49:N54" si="42">N50-0.15</f>
        <v>3.1000000000000005</v>
      </c>
      <c r="O49" s="13">
        <f>(((N49*$D$46)-$D$45+$E$45)/$E$46)</f>
        <v>5.2880178891666674</v>
      </c>
      <c r="Q49" s="36">
        <f>(((T49*$E$46)-$E$45+$B$45)/$B$46)</f>
        <v>0.56288473823106078</v>
      </c>
      <c r="R49" s="10">
        <f>(((T49*$E$46)-$E$45+$C$45)/$C$46)*2000</f>
        <v>336.42277729787247</v>
      </c>
      <c r="S49" s="9">
        <f>(((T49*$E$46)-$E$45+$D$45)/$D$46)</f>
        <v>3.628594633250001</v>
      </c>
      <c r="T49" s="9">
        <f t="shared" ref="T49:T54" si="43">T50-0.35</f>
        <v>7.0500000000000025</v>
      </c>
    </row>
    <row r="50" spans="2:20" x14ac:dyDescent="0.2">
      <c r="B50" s="18">
        <f t="shared" si="40"/>
        <v>0.54999999999999982</v>
      </c>
      <c r="C50" s="19">
        <f t="shared" ref="C50:C63" si="44">(((B50*$B$46)-$B$45+$C$45)/$C$46)*2000</f>
        <v>329.84333649903283</v>
      </c>
      <c r="D50" s="18">
        <f t="shared" ref="D50:D63" si="45">(((B50*$B$46)-$B$45+$D$45)/$D$46)</f>
        <v>3.5512862038636355</v>
      </c>
      <c r="E50" s="18">
        <f t="shared" ref="E50:E63" si="46">(((B50*$B$46)-$B$45+$E$45)/$E$46)</f>
        <v>6.7923052353787829</v>
      </c>
      <c r="G50" s="20">
        <f t="shared" ref="G50:G63" si="47">(((H50*$C$46/2000)-$C$45+$B$45)/$B$46)</f>
        <v>0.62864013268939389</v>
      </c>
      <c r="H50" s="21">
        <f t="shared" si="41"/>
        <v>370</v>
      </c>
      <c r="I50" s="20">
        <f t="shared" ref="I50:I63" si="48">(((H50*$C$46/2000)-$C$45+$D$45)/$D$46)</f>
        <v>4.0231269999999997</v>
      </c>
      <c r="J50" s="20">
        <f t="shared" ref="J50:J63" si="49">(((H50*$C$46/2000)-$C$45+$E$45)/$E$46)</f>
        <v>8.3651078891666657</v>
      </c>
      <c r="L50" s="17">
        <f t="shared" ref="L50:L63" si="50">(((N50*$D$46)-$D$45+$B$45)/$B$46)</f>
        <v>0.49978563268939402</v>
      </c>
      <c r="M50" s="14">
        <f t="shared" ref="M50:M63" si="51">(((N50*$D$46)-$D$45+$C$45)/$C$46)*2000</f>
        <v>304.20195744680854</v>
      </c>
      <c r="N50" s="13">
        <f t="shared" si="42"/>
        <v>3.2500000000000004</v>
      </c>
      <c r="O50" s="13">
        <f t="shared" ref="O50:O63" si="52">(((N50*$D$46)-$D$45+$E$45)/$E$46)</f>
        <v>5.7880178891666674</v>
      </c>
      <c r="Q50" s="36">
        <f t="shared" ref="Q50:Q63" si="53">(((T50*$E$46)-$E$45+$B$45)/$B$46)</f>
        <v>0.58038473823106074</v>
      </c>
      <c r="R50" s="10">
        <f t="shared" ref="R50:R63" si="54">(((T50*$E$46)-$E$45+$C$45)/$C$46)*2000</f>
        <v>345.35894751063842</v>
      </c>
      <c r="S50" s="9">
        <f t="shared" ref="S50:S63" si="55">(((T50*$E$46)-$E$45+$D$45)/$D$46)</f>
        <v>3.733594633250001</v>
      </c>
      <c r="T50" s="9">
        <f t="shared" si="43"/>
        <v>7.4000000000000021</v>
      </c>
    </row>
    <row r="51" spans="2:20" x14ac:dyDescent="0.2">
      <c r="B51" s="18">
        <f t="shared" si="40"/>
        <v>0.57499999999999984</v>
      </c>
      <c r="C51" s="19">
        <f t="shared" si="44"/>
        <v>342.60929394584127</v>
      </c>
      <c r="D51" s="18">
        <f t="shared" si="45"/>
        <v>3.7012862038636354</v>
      </c>
      <c r="E51" s="18">
        <f t="shared" si="46"/>
        <v>7.2923052353787829</v>
      </c>
      <c r="G51" s="20">
        <f t="shared" si="47"/>
        <v>0.64822346602272729</v>
      </c>
      <c r="H51" s="21">
        <f t="shared" si="41"/>
        <v>380</v>
      </c>
      <c r="I51" s="20">
        <f t="shared" si="48"/>
        <v>4.1406270000000003</v>
      </c>
      <c r="J51" s="20">
        <f t="shared" si="49"/>
        <v>8.7567745558333332</v>
      </c>
      <c r="L51" s="17">
        <f t="shared" si="50"/>
        <v>0.52478563268939404</v>
      </c>
      <c r="M51" s="14">
        <f t="shared" si="51"/>
        <v>316.96791489361709</v>
      </c>
      <c r="N51" s="13">
        <f t="shared" si="42"/>
        <v>3.4000000000000004</v>
      </c>
      <c r="O51" s="13">
        <f t="shared" si="52"/>
        <v>6.2880178891666674</v>
      </c>
      <c r="Q51" s="36">
        <f t="shared" si="53"/>
        <v>0.5978847382310607</v>
      </c>
      <c r="R51" s="10">
        <f t="shared" si="54"/>
        <v>354.2951177234043</v>
      </c>
      <c r="S51" s="9">
        <f t="shared" si="55"/>
        <v>3.8385946332500009</v>
      </c>
      <c r="T51" s="9">
        <f t="shared" si="43"/>
        <v>7.7500000000000018</v>
      </c>
    </row>
    <row r="52" spans="2:20" x14ac:dyDescent="0.2">
      <c r="B52" s="18">
        <f t="shared" si="40"/>
        <v>0.59999999999999987</v>
      </c>
      <c r="C52" s="19">
        <f t="shared" si="44"/>
        <v>355.37525139264989</v>
      </c>
      <c r="D52" s="18">
        <f t="shared" si="45"/>
        <v>3.8512862038636357</v>
      </c>
      <c r="E52" s="18">
        <f t="shared" si="46"/>
        <v>7.7923052353787856</v>
      </c>
      <c r="G52" s="20">
        <f t="shared" si="47"/>
        <v>0.66780679935606058</v>
      </c>
      <c r="H52" s="21">
        <f t="shared" si="41"/>
        <v>390</v>
      </c>
      <c r="I52" s="20">
        <f t="shared" si="48"/>
        <v>4.258127</v>
      </c>
      <c r="J52" s="20">
        <f t="shared" si="49"/>
        <v>9.1484412224999989</v>
      </c>
      <c r="L52" s="17">
        <f t="shared" si="50"/>
        <v>0.54978563268939395</v>
      </c>
      <c r="M52" s="14">
        <f t="shared" si="51"/>
        <v>329.73387234042548</v>
      </c>
      <c r="N52" s="13">
        <f t="shared" si="42"/>
        <v>3.5500000000000003</v>
      </c>
      <c r="O52" s="13">
        <f t="shared" si="52"/>
        <v>6.7880178891666656</v>
      </c>
      <c r="Q52" s="36">
        <f t="shared" si="53"/>
        <v>0.61538473823106077</v>
      </c>
      <c r="R52" s="10">
        <f t="shared" si="54"/>
        <v>363.23128793617025</v>
      </c>
      <c r="S52" s="9">
        <f t="shared" si="55"/>
        <v>3.9435946332500009</v>
      </c>
      <c r="T52" s="9">
        <f t="shared" si="43"/>
        <v>8.1000000000000014</v>
      </c>
    </row>
    <row r="53" spans="2:20" x14ac:dyDescent="0.2">
      <c r="B53" s="18">
        <f t="shared" si="40"/>
        <v>0.62499999999999989</v>
      </c>
      <c r="C53" s="19">
        <f t="shared" si="44"/>
        <v>368.14120883945839</v>
      </c>
      <c r="D53" s="18">
        <f t="shared" si="45"/>
        <v>4.0012862038636356</v>
      </c>
      <c r="E53" s="18">
        <f t="shared" si="46"/>
        <v>8.2923052353787856</v>
      </c>
      <c r="G53" s="20">
        <f t="shared" si="47"/>
        <v>0.68739013268939397</v>
      </c>
      <c r="H53" s="21">
        <f t="shared" si="41"/>
        <v>400</v>
      </c>
      <c r="I53" s="20">
        <f t="shared" si="48"/>
        <v>4.3756269999999997</v>
      </c>
      <c r="J53" s="20">
        <f t="shared" si="49"/>
        <v>9.5401078891666664</v>
      </c>
      <c r="L53" s="17">
        <f t="shared" si="50"/>
        <v>0.57478563268939387</v>
      </c>
      <c r="M53" s="14">
        <f t="shared" si="51"/>
        <v>342.49982978723403</v>
      </c>
      <c r="N53" s="13">
        <f t="shared" si="42"/>
        <v>3.7</v>
      </c>
      <c r="O53" s="13">
        <f t="shared" si="52"/>
        <v>7.2880178891666656</v>
      </c>
      <c r="Q53" s="36">
        <f t="shared" si="53"/>
        <v>0.63288473823106073</v>
      </c>
      <c r="R53" s="10">
        <f t="shared" si="54"/>
        <v>372.16745814893619</v>
      </c>
      <c r="S53" s="9">
        <f t="shared" si="55"/>
        <v>4.0485946332500014</v>
      </c>
      <c r="T53" s="9">
        <f t="shared" si="43"/>
        <v>8.4500000000000011</v>
      </c>
    </row>
    <row r="54" spans="2:20" x14ac:dyDescent="0.2">
      <c r="B54" s="18">
        <f t="shared" si="40"/>
        <v>0.64999999999999991</v>
      </c>
      <c r="C54" s="19">
        <f t="shared" si="44"/>
        <v>380.90716628626689</v>
      </c>
      <c r="D54" s="18">
        <f t="shared" si="45"/>
        <v>4.151286203863636</v>
      </c>
      <c r="E54" s="18">
        <f t="shared" si="46"/>
        <v>8.7923052353787856</v>
      </c>
      <c r="G54" s="20">
        <f t="shared" si="47"/>
        <v>0.70697346602272726</v>
      </c>
      <c r="H54" s="21">
        <f t="shared" si="41"/>
        <v>410</v>
      </c>
      <c r="I54" s="20">
        <f t="shared" si="48"/>
        <v>4.4931270000000003</v>
      </c>
      <c r="J54" s="20">
        <f t="shared" si="49"/>
        <v>9.9317745558333321</v>
      </c>
      <c r="L54" s="17">
        <f t="shared" si="50"/>
        <v>0.59978563268939389</v>
      </c>
      <c r="M54" s="14">
        <f t="shared" si="51"/>
        <v>355.26578723404259</v>
      </c>
      <c r="N54" s="13">
        <f t="shared" si="42"/>
        <v>3.85</v>
      </c>
      <c r="O54" s="13">
        <f t="shared" si="52"/>
        <v>7.7880178891666656</v>
      </c>
      <c r="Q54" s="36">
        <f t="shared" si="53"/>
        <v>0.65038473823106069</v>
      </c>
      <c r="R54" s="10">
        <f t="shared" si="54"/>
        <v>381.10362836170214</v>
      </c>
      <c r="S54" s="9">
        <f t="shared" si="55"/>
        <v>4.15359463325</v>
      </c>
      <c r="T54" s="9">
        <f t="shared" si="43"/>
        <v>8.8000000000000007</v>
      </c>
    </row>
    <row r="55" spans="2:20" ht="13.5" thickBot="1" x14ac:dyDescent="0.25">
      <c r="B55" s="18">
        <f>B56-0.025</f>
        <v>0.67499999999999993</v>
      </c>
      <c r="C55" s="19">
        <f t="shared" si="44"/>
        <v>393.67312373307539</v>
      </c>
      <c r="D55" s="18">
        <f t="shared" si="45"/>
        <v>4.3012862038636364</v>
      </c>
      <c r="E55" s="18">
        <f t="shared" si="46"/>
        <v>9.2923052353787856</v>
      </c>
      <c r="G55" s="20">
        <f t="shared" si="47"/>
        <v>0.72655679935606055</v>
      </c>
      <c r="H55" s="21">
        <f>H56-10</f>
        <v>420</v>
      </c>
      <c r="I55" s="20">
        <f t="shared" si="48"/>
        <v>4.610627</v>
      </c>
      <c r="J55" s="20">
        <f t="shared" si="49"/>
        <v>10.3234412225</v>
      </c>
      <c r="L55" s="17">
        <f t="shared" si="50"/>
        <v>0.62478563268939391</v>
      </c>
      <c r="M55" s="14">
        <f t="shared" si="51"/>
        <v>368.03174468085103</v>
      </c>
      <c r="N55" s="13">
        <f>N56-0.15</f>
        <v>4</v>
      </c>
      <c r="O55" s="13">
        <f t="shared" si="52"/>
        <v>8.2880178891666656</v>
      </c>
      <c r="Q55" s="36">
        <f t="shared" si="53"/>
        <v>0.66788473823106065</v>
      </c>
      <c r="R55" s="10">
        <f t="shared" si="54"/>
        <v>390.03979857446814</v>
      </c>
      <c r="S55" s="9">
        <f t="shared" si="55"/>
        <v>4.2585946332500004</v>
      </c>
      <c r="T55" s="9">
        <f>T56-0.35</f>
        <v>9.15</v>
      </c>
    </row>
    <row r="56" spans="2:20" ht="13.5" thickBot="1" x14ac:dyDescent="0.25">
      <c r="B56" s="24">
        <f>Conventional!$B$8</f>
        <v>0.7</v>
      </c>
      <c r="C56" s="19">
        <f t="shared" si="44"/>
        <v>406.439081179884</v>
      </c>
      <c r="D56" s="18">
        <f t="shared" si="45"/>
        <v>4.4512862038636367</v>
      </c>
      <c r="E56" s="18">
        <f t="shared" si="46"/>
        <v>9.7923052353787874</v>
      </c>
      <c r="G56" s="20">
        <f t="shared" si="47"/>
        <v>0.74614013268939394</v>
      </c>
      <c r="H56" s="22">
        <f>Conventional!$D$8</f>
        <v>430</v>
      </c>
      <c r="I56" s="20">
        <f t="shared" si="48"/>
        <v>4.7281269999999997</v>
      </c>
      <c r="J56" s="20">
        <f t="shared" si="49"/>
        <v>10.715107889166665</v>
      </c>
      <c r="L56" s="17">
        <f t="shared" si="50"/>
        <v>0.64978563268939404</v>
      </c>
      <c r="M56" s="14">
        <f t="shared" si="51"/>
        <v>380.79770212765965</v>
      </c>
      <c r="N56" s="15">
        <f>Conventional!$F$8</f>
        <v>4.1500000000000004</v>
      </c>
      <c r="O56" s="13">
        <f t="shared" si="52"/>
        <v>8.7880178891666674</v>
      </c>
      <c r="Q56" s="36">
        <f t="shared" si="53"/>
        <v>0.68538473823106061</v>
      </c>
      <c r="R56" s="10">
        <f t="shared" si="54"/>
        <v>398.97596878723408</v>
      </c>
      <c r="S56" s="9">
        <f t="shared" si="55"/>
        <v>4.36359463325</v>
      </c>
      <c r="T56" s="11">
        <f>Conventional!$H$8</f>
        <v>9.5</v>
      </c>
    </row>
    <row r="57" spans="2:20" x14ac:dyDescent="0.2">
      <c r="B57" s="18">
        <f>B56+0.025</f>
        <v>0.72499999999999998</v>
      </c>
      <c r="C57" s="19">
        <f t="shared" si="44"/>
        <v>419.20503862669244</v>
      </c>
      <c r="D57" s="18">
        <f t="shared" si="45"/>
        <v>4.6012862038636362</v>
      </c>
      <c r="E57" s="18">
        <f t="shared" si="46"/>
        <v>10.292305235378787</v>
      </c>
      <c r="G57" s="20">
        <f t="shared" si="47"/>
        <v>0.76572346602272723</v>
      </c>
      <c r="H57" s="21">
        <f>H56+10</f>
        <v>440</v>
      </c>
      <c r="I57" s="20">
        <f t="shared" si="48"/>
        <v>4.8456270000000004</v>
      </c>
      <c r="J57" s="20">
        <f t="shared" si="49"/>
        <v>11.106774555833333</v>
      </c>
      <c r="L57" s="17">
        <f t="shared" si="50"/>
        <v>0.67478563268939407</v>
      </c>
      <c r="M57" s="14">
        <f t="shared" si="51"/>
        <v>393.56365957446815</v>
      </c>
      <c r="N57" s="13">
        <f>N56+0.15</f>
        <v>4.3000000000000007</v>
      </c>
      <c r="O57" s="13">
        <f t="shared" si="52"/>
        <v>9.2880178891666674</v>
      </c>
      <c r="Q57" s="36">
        <f t="shared" si="53"/>
        <v>0.70288473823106068</v>
      </c>
      <c r="R57" s="10">
        <f t="shared" si="54"/>
        <v>407.91213900000002</v>
      </c>
      <c r="S57" s="9">
        <f t="shared" si="55"/>
        <v>4.4685946332500004</v>
      </c>
      <c r="T57" s="9">
        <f>T56+0.35</f>
        <v>9.85</v>
      </c>
    </row>
    <row r="58" spans="2:20" x14ac:dyDescent="0.2">
      <c r="B58" s="18">
        <f t="shared" ref="B58:B63" si="56">B57+0.025</f>
        <v>0.75</v>
      </c>
      <c r="C58" s="19">
        <f t="shared" si="44"/>
        <v>431.970996073501</v>
      </c>
      <c r="D58" s="18">
        <f t="shared" si="45"/>
        <v>4.7512862038636365</v>
      </c>
      <c r="E58" s="18">
        <f t="shared" si="46"/>
        <v>10.792305235378787</v>
      </c>
      <c r="G58" s="20">
        <f t="shared" si="47"/>
        <v>0.78530679935606063</v>
      </c>
      <c r="H58" s="21">
        <f t="shared" ref="H58:H63" si="57">H57+10</f>
        <v>450</v>
      </c>
      <c r="I58" s="20">
        <f t="shared" si="48"/>
        <v>4.9631270000000001</v>
      </c>
      <c r="J58" s="20">
        <f t="shared" si="49"/>
        <v>11.498441222499999</v>
      </c>
      <c r="L58" s="17">
        <f t="shared" si="50"/>
        <v>0.69978563268939409</v>
      </c>
      <c r="M58" s="14">
        <f t="shared" si="51"/>
        <v>406.3296170212767</v>
      </c>
      <c r="N58" s="13">
        <f t="shared" ref="N58:N63" si="58">N57+0.15</f>
        <v>4.4500000000000011</v>
      </c>
      <c r="O58" s="13">
        <f t="shared" si="52"/>
        <v>9.7880178891666691</v>
      </c>
      <c r="Q58" s="36">
        <f t="shared" si="53"/>
        <v>0.72038473823106064</v>
      </c>
      <c r="R58" s="10">
        <f t="shared" si="54"/>
        <v>416.84830921276603</v>
      </c>
      <c r="S58" s="9">
        <f t="shared" si="55"/>
        <v>4.5735946332499999</v>
      </c>
      <c r="T58" s="9">
        <f t="shared" ref="T58:T63" si="59">T57+0.35</f>
        <v>10.199999999999999</v>
      </c>
    </row>
    <row r="59" spans="2:20" x14ac:dyDescent="0.2">
      <c r="B59" s="18">
        <f t="shared" si="56"/>
        <v>0.77500000000000002</v>
      </c>
      <c r="C59" s="19">
        <f t="shared" si="44"/>
        <v>444.73695352030944</v>
      </c>
      <c r="D59" s="18">
        <f t="shared" si="45"/>
        <v>4.9012862038636369</v>
      </c>
      <c r="E59" s="18">
        <f t="shared" si="46"/>
        <v>11.292305235378787</v>
      </c>
      <c r="G59" s="20">
        <f t="shared" si="47"/>
        <v>0.80489013268939391</v>
      </c>
      <c r="H59" s="21">
        <f t="shared" si="57"/>
        <v>460</v>
      </c>
      <c r="I59" s="20">
        <f t="shared" si="48"/>
        <v>5.0806269999999998</v>
      </c>
      <c r="J59" s="20">
        <f t="shared" si="49"/>
        <v>11.890107889166666</v>
      </c>
      <c r="L59" s="17">
        <f t="shared" si="50"/>
        <v>0.72478563268939411</v>
      </c>
      <c r="M59" s="14">
        <f t="shared" si="51"/>
        <v>419.0955744680852</v>
      </c>
      <c r="N59" s="13">
        <f t="shared" si="58"/>
        <v>4.6000000000000014</v>
      </c>
      <c r="O59" s="13">
        <f t="shared" si="52"/>
        <v>10.288017889166669</v>
      </c>
      <c r="Q59" s="36">
        <f t="shared" si="53"/>
        <v>0.7378847382310606</v>
      </c>
      <c r="R59" s="10">
        <f t="shared" si="54"/>
        <v>425.78447942553186</v>
      </c>
      <c r="S59" s="9">
        <f t="shared" si="55"/>
        <v>4.6785946332499995</v>
      </c>
      <c r="T59" s="9">
        <f t="shared" si="59"/>
        <v>10.549999999999999</v>
      </c>
    </row>
    <row r="60" spans="2:20" x14ac:dyDescent="0.2">
      <c r="B60" s="18">
        <f t="shared" si="56"/>
        <v>0.8</v>
      </c>
      <c r="C60" s="19">
        <f t="shared" si="44"/>
        <v>457.50291096711794</v>
      </c>
      <c r="D60" s="18">
        <f t="shared" si="45"/>
        <v>5.0512862038636364</v>
      </c>
      <c r="E60" s="18">
        <f t="shared" si="46"/>
        <v>11.792305235378787</v>
      </c>
      <c r="G60" s="20">
        <f t="shared" si="47"/>
        <v>0.82447346602272731</v>
      </c>
      <c r="H60" s="21">
        <f t="shared" si="57"/>
        <v>470</v>
      </c>
      <c r="I60" s="20">
        <f t="shared" si="48"/>
        <v>5.1981269999999995</v>
      </c>
      <c r="J60" s="20">
        <f t="shared" si="49"/>
        <v>12.281774555833332</v>
      </c>
      <c r="L60" s="17">
        <f t="shared" si="50"/>
        <v>0.74978563268939424</v>
      </c>
      <c r="M60" s="14">
        <f t="shared" si="51"/>
        <v>431.86153191489376</v>
      </c>
      <c r="N60" s="13">
        <f t="shared" si="58"/>
        <v>4.7500000000000018</v>
      </c>
      <c r="O60" s="13">
        <f t="shared" si="52"/>
        <v>10.788017889166671</v>
      </c>
      <c r="Q60" s="36">
        <f t="shared" si="53"/>
        <v>0.75538473823106056</v>
      </c>
      <c r="R60" s="10">
        <f t="shared" si="54"/>
        <v>434.72064963829786</v>
      </c>
      <c r="S60" s="9">
        <f t="shared" si="55"/>
        <v>4.7835946332499999</v>
      </c>
      <c r="T60" s="9">
        <f t="shared" si="59"/>
        <v>10.899999999999999</v>
      </c>
    </row>
    <row r="61" spans="2:20" x14ac:dyDescent="0.2">
      <c r="B61" s="18">
        <f t="shared" si="56"/>
        <v>0.82500000000000007</v>
      </c>
      <c r="C61" s="19">
        <f t="shared" si="44"/>
        <v>470.26886841392655</v>
      </c>
      <c r="D61" s="18">
        <f t="shared" si="45"/>
        <v>5.2012862038636376</v>
      </c>
      <c r="E61" s="18">
        <f t="shared" si="46"/>
        <v>12.292305235378789</v>
      </c>
      <c r="G61" s="20">
        <f t="shared" si="47"/>
        <v>0.84405679935606059</v>
      </c>
      <c r="H61" s="21">
        <f t="shared" si="57"/>
        <v>480</v>
      </c>
      <c r="I61" s="20">
        <f t="shared" si="48"/>
        <v>5.3156269999999992</v>
      </c>
      <c r="J61" s="20">
        <f t="shared" si="49"/>
        <v>12.673441222499999</v>
      </c>
      <c r="L61" s="17">
        <f t="shared" si="50"/>
        <v>0.77478563268939427</v>
      </c>
      <c r="M61" s="14">
        <f t="shared" si="51"/>
        <v>444.62748936170237</v>
      </c>
      <c r="N61" s="13">
        <f t="shared" si="58"/>
        <v>4.9000000000000021</v>
      </c>
      <c r="O61" s="13">
        <f t="shared" si="52"/>
        <v>11.288017889166673</v>
      </c>
      <c r="Q61" s="36">
        <f t="shared" si="53"/>
        <v>0.77288473823106052</v>
      </c>
      <c r="R61" s="10">
        <f t="shared" si="54"/>
        <v>443.65681985106386</v>
      </c>
      <c r="S61" s="9">
        <f t="shared" si="55"/>
        <v>4.8885946332499994</v>
      </c>
      <c r="T61" s="9">
        <f t="shared" si="59"/>
        <v>11.249999999999998</v>
      </c>
    </row>
    <row r="62" spans="2:20" x14ac:dyDescent="0.2">
      <c r="B62" s="18">
        <f t="shared" si="56"/>
        <v>0.85000000000000009</v>
      </c>
      <c r="C62" s="19">
        <f t="shared" si="44"/>
        <v>483.03482586073505</v>
      </c>
      <c r="D62" s="18">
        <f t="shared" si="45"/>
        <v>5.351286203863638</v>
      </c>
      <c r="E62" s="18">
        <f t="shared" si="46"/>
        <v>12.792305235378789</v>
      </c>
      <c r="G62" s="20">
        <f t="shared" si="47"/>
        <v>0.86364013268939399</v>
      </c>
      <c r="H62" s="21">
        <f t="shared" si="57"/>
        <v>490</v>
      </c>
      <c r="I62" s="20">
        <f t="shared" si="48"/>
        <v>5.4331269999999998</v>
      </c>
      <c r="J62" s="20">
        <f t="shared" si="49"/>
        <v>13.065107889166665</v>
      </c>
      <c r="L62" s="17">
        <f t="shared" si="50"/>
        <v>0.79978563268939429</v>
      </c>
      <c r="M62" s="14">
        <f t="shared" si="51"/>
        <v>457.39344680851087</v>
      </c>
      <c r="N62" s="13">
        <f t="shared" si="58"/>
        <v>5.0500000000000025</v>
      </c>
      <c r="O62" s="13">
        <f t="shared" si="52"/>
        <v>11.788017889166673</v>
      </c>
      <c r="Q62" s="36">
        <f t="shared" si="53"/>
        <v>0.79038473823106059</v>
      </c>
      <c r="R62" s="10">
        <f t="shared" si="54"/>
        <v>452.5929900638298</v>
      </c>
      <c r="S62" s="9">
        <f t="shared" si="55"/>
        <v>4.9935946332499999</v>
      </c>
      <c r="T62" s="9">
        <f t="shared" si="59"/>
        <v>11.599999999999998</v>
      </c>
    </row>
    <row r="63" spans="2:20" x14ac:dyDescent="0.2">
      <c r="B63" s="18">
        <f t="shared" si="56"/>
        <v>0.87500000000000011</v>
      </c>
      <c r="C63" s="19">
        <f t="shared" si="44"/>
        <v>495.80078330754367</v>
      </c>
      <c r="D63" s="18">
        <f t="shared" si="45"/>
        <v>5.5012862038636374</v>
      </c>
      <c r="E63" s="18">
        <f t="shared" si="46"/>
        <v>13.292305235378791</v>
      </c>
      <c r="G63" s="20">
        <f t="shared" si="47"/>
        <v>0.88322346602272739</v>
      </c>
      <c r="H63" s="21">
        <f t="shared" si="57"/>
        <v>500</v>
      </c>
      <c r="I63" s="20">
        <f t="shared" si="48"/>
        <v>5.5506269999999995</v>
      </c>
      <c r="J63" s="20">
        <f t="shared" si="49"/>
        <v>13.456774555833332</v>
      </c>
      <c r="L63" s="17">
        <f t="shared" si="50"/>
        <v>0.82478563268939431</v>
      </c>
      <c r="M63" s="14">
        <f t="shared" si="51"/>
        <v>470.15940425531937</v>
      </c>
      <c r="N63" s="13">
        <f t="shared" si="58"/>
        <v>5.2000000000000028</v>
      </c>
      <c r="O63" s="13">
        <f t="shared" si="52"/>
        <v>12.288017889166673</v>
      </c>
      <c r="Q63" s="36">
        <f t="shared" si="53"/>
        <v>0.80788473823106055</v>
      </c>
      <c r="R63" s="10">
        <f t="shared" si="54"/>
        <v>461.5291602765958</v>
      </c>
      <c r="S63" s="9">
        <f t="shared" si="55"/>
        <v>5.0985946332499994</v>
      </c>
      <c r="T63" s="9">
        <f t="shared" si="59"/>
        <v>11.949999999999998</v>
      </c>
    </row>
    <row r="64" spans="2:20" x14ac:dyDescent="0.2">
      <c r="B64" s="18"/>
      <c r="C64" s="19"/>
      <c r="D64" s="18"/>
      <c r="E64" s="18"/>
      <c r="G64" s="23"/>
      <c r="H64" s="23"/>
      <c r="I64" s="23"/>
      <c r="J64" s="23"/>
      <c r="L64" s="16"/>
      <c r="M64" s="16"/>
      <c r="N64" s="16"/>
      <c r="O64" s="16"/>
      <c r="Q64" s="12"/>
      <c r="R64" s="12"/>
      <c r="S64" s="12"/>
      <c r="T64" s="12"/>
    </row>
    <row r="65" spans="1:20" x14ac:dyDescent="0.2">
      <c r="B65" s="56" t="s">
        <v>2</v>
      </c>
      <c r="C65" s="56" t="s">
        <v>68</v>
      </c>
      <c r="D65" s="56" t="s">
        <v>4</v>
      </c>
      <c r="E65" s="56" t="s">
        <v>69</v>
      </c>
      <c r="G65" s="23"/>
      <c r="H65" s="23"/>
      <c r="I65" s="23"/>
      <c r="J65" s="23"/>
      <c r="L65" s="16"/>
      <c r="M65" s="16"/>
      <c r="N65" s="16"/>
      <c r="O65" s="16"/>
      <c r="Q65" s="12"/>
      <c r="R65" s="12"/>
      <c r="S65" s="12"/>
      <c r="T65" s="12"/>
    </row>
    <row r="66" spans="1:20" x14ac:dyDescent="0.2">
      <c r="A66" s="1" t="s">
        <v>72</v>
      </c>
      <c r="B66" s="57">
        <f>'Strip-Till'!L$31</f>
        <v>413.92419982954539</v>
      </c>
      <c r="C66" s="57">
        <f>'Strip-Till'!N$31</f>
        <v>526.41575</v>
      </c>
      <c r="D66" s="57">
        <f>'Strip-Till'!P$31</f>
        <v>286.99387044999997</v>
      </c>
      <c r="E66" s="57">
        <f>'Strip-Till'!R$31</f>
        <v>197.878511425</v>
      </c>
      <c r="G66" s="23"/>
      <c r="H66" s="23"/>
      <c r="I66" s="23"/>
      <c r="J66" s="23"/>
      <c r="L66" s="16"/>
      <c r="M66" s="16"/>
      <c r="N66" s="16"/>
      <c r="O66" s="16"/>
      <c r="Q66" s="12"/>
      <c r="R66" s="12"/>
      <c r="S66" s="12"/>
      <c r="T66" s="12"/>
    </row>
    <row r="67" spans="1:20" x14ac:dyDescent="0.2">
      <c r="A67" s="1" t="s">
        <v>73</v>
      </c>
      <c r="B67" s="58">
        <f>'Strip-Till'!L$7</f>
        <v>750</v>
      </c>
      <c r="C67" s="58">
        <f>'Strip-Till'!N$7</f>
        <v>3400</v>
      </c>
      <c r="D67" s="58">
        <f>'Strip-Till'!P$7</f>
        <v>85</v>
      </c>
      <c r="E67" s="58">
        <f>'Strip-Till'!R$7</f>
        <v>30</v>
      </c>
      <c r="G67" s="23"/>
      <c r="H67" s="23"/>
      <c r="I67" s="23"/>
      <c r="J67" s="23"/>
      <c r="L67" s="16"/>
      <c r="M67" s="16"/>
      <c r="N67" s="16"/>
      <c r="O67" s="16"/>
      <c r="Q67" s="12"/>
      <c r="R67" s="12"/>
      <c r="S67" s="12"/>
      <c r="T67" s="12"/>
    </row>
    <row r="68" spans="1:20" x14ac:dyDescent="0.2">
      <c r="A68" s="6"/>
      <c r="B68" s="407" t="s">
        <v>74</v>
      </c>
      <c r="C68" s="407"/>
      <c r="D68" s="407"/>
      <c r="E68" s="407"/>
      <c r="F68" s="29"/>
      <c r="G68" s="408" t="s">
        <v>75</v>
      </c>
      <c r="H68" s="408"/>
      <c r="I68" s="408"/>
      <c r="J68" s="408"/>
      <c r="K68" s="29"/>
      <c r="L68" s="409" t="s">
        <v>76</v>
      </c>
      <c r="M68" s="409"/>
      <c r="N68" s="409"/>
      <c r="O68" s="409"/>
      <c r="P68" s="29"/>
      <c r="Q68" s="410" t="s">
        <v>77</v>
      </c>
      <c r="R68" s="410"/>
      <c r="S68" s="410"/>
      <c r="T68" s="410"/>
    </row>
    <row r="69" spans="1:20" ht="38.25" x14ac:dyDescent="0.2">
      <c r="A69" s="8"/>
      <c r="B69" s="25" t="s">
        <v>83</v>
      </c>
      <c r="C69" s="25" t="s">
        <v>80</v>
      </c>
      <c r="D69" s="25" t="s">
        <v>81</v>
      </c>
      <c r="E69" s="25" t="s">
        <v>82</v>
      </c>
      <c r="F69" s="30"/>
      <c r="G69" s="26" t="s">
        <v>83</v>
      </c>
      <c r="H69" s="26" t="s">
        <v>80</v>
      </c>
      <c r="I69" s="26" t="s">
        <v>81</v>
      </c>
      <c r="J69" s="26" t="s">
        <v>82</v>
      </c>
      <c r="K69" s="30"/>
      <c r="L69" s="27" t="s">
        <v>83</v>
      </c>
      <c r="M69" s="27" t="s">
        <v>80</v>
      </c>
      <c r="N69" s="27" t="s">
        <v>81</v>
      </c>
      <c r="O69" s="27" t="s">
        <v>82</v>
      </c>
      <c r="P69" s="30"/>
      <c r="Q69" s="28" t="s">
        <v>83</v>
      </c>
      <c r="R69" s="28" t="s">
        <v>80</v>
      </c>
      <c r="S69" s="28" t="s">
        <v>81</v>
      </c>
      <c r="T69" s="28" t="s">
        <v>82</v>
      </c>
    </row>
    <row r="70" spans="1:20" x14ac:dyDescent="0.2">
      <c r="B70" s="18">
        <f t="shared" ref="B70:B75" si="60">B71-0.025</f>
        <v>0.5249999999999998</v>
      </c>
      <c r="C70" s="19">
        <f>(((B70*$B$67)-$B$66+$C$66)/$C$67)*2000</f>
        <v>297.78914715909082</v>
      </c>
      <c r="D70" s="18">
        <f>(((B70*$B$67)-$B$66+$D$66)/$D$67)</f>
        <v>3.1390549484759345</v>
      </c>
      <c r="E70" s="18">
        <f>(((B70*$B$67)-$B$66+$E$66)/$E$67)</f>
        <v>5.9234770531818146</v>
      </c>
      <c r="G70" s="20">
        <f>(((H70*$C$67/2000)-$C$66+$B$66)/$B$67)</f>
        <v>0.6660112664393939</v>
      </c>
      <c r="H70" s="21">
        <f t="shared" ref="H70:H75" si="61">H71-10</f>
        <v>360</v>
      </c>
      <c r="I70" s="20">
        <f>(((H70*$C$67/2000)-$C$66+$D$66)/$D$67)</f>
        <v>4.383272005294117</v>
      </c>
      <c r="J70" s="20">
        <f>(((H70*$C$67/2000)-$C$66+$E$66)/$E$67)</f>
        <v>9.4487587141666669</v>
      </c>
      <c r="L70" s="17">
        <f>(((N70*$D$67)-$D$66+$B$66)/$B$67)</f>
        <v>0.52057377250606063</v>
      </c>
      <c r="M70" s="14">
        <f>(((N70*$D$67)-$D$66+$C$66)/$C$67)*2000</f>
        <v>295.83639973529421</v>
      </c>
      <c r="N70" s="13">
        <f t="shared" ref="N70:N75" si="62">N71-0.15</f>
        <v>3.1000000000000005</v>
      </c>
      <c r="O70" s="13">
        <f>(((N70*$D$67)-$D$66+$E$66)/$E$67)</f>
        <v>5.8128213658333356</v>
      </c>
      <c r="Q70" s="9">
        <f>(((T70*$E$67)-$E$66+$B$66)/$B$67)</f>
        <v>0.57006091787272728</v>
      </c>
      <c r="R70" s="10">
        <f>(((T70*$E$67)-$E$66+$C$66)/$C$67)*2000</f>
        <v>317.66896386764711</v>
      </c>
      <c r="S70" s="9">
        <f>(((T70*$E$67)-$E$66+$D$66)/$D$67)</f>
        <v>3.53665128264706</v>
      </c>
      <c r="T70" s="9">
        <f t="shared" ref="T70:T75" si="63">T71-0.35</f>
        <v>7.0500000000000025</v>
      </c>
    </row>
    <row r="71" spans="1:20" x14ac:dyDescent="0.2">
      <c r="B71" s="18">
        <f t="shared" si="60"/>
        <v>0.54999999999999982</v>
      </c>
      <c r="C71" s="19">
        <f t="shared" ref="C71:C84" si="64">(((B71*$B$67)-$B$66+$C$66)/$C$67)*2000</f>
        <v>308.81855892379679</v>
      </c>
      <c r="D71" s="18">
        <f t="shared" ref="D71:D84" si="65">(((B71*$B$67)-$B$66+$D$66)/$D$67)</f>
        <v>3.3596431837700527</v>
      </c>
      <c r="E71" s="18">
        <f t="shared" ref="E71:E84" si="66">(((B71*$B$67)-$B$66+$E$66)/$E$67)</f>
        <v>6.5484770531818164</v>
      </c>
      <c r="G71" s="20">
        <f t="shared" ref="G71:G84" si="67">(((H71*$C$67/2000)-$C$66+$B$66)/$B$67)</f>
        <v>0.68867793310606051</v>
      </c>
      <c r="H71" s="21">
        <f t="shared" si="61"/>
        <v>370</v>
      </c>
      <c r="I71" s="20">
        <f t="shared" ref="I71:I84" si="68">(((H71*$C$67/2000)-$C$66+$D$66)/$D$67)</f>
        <v>4.5832720052941172</v>
      </c>
      <c r="J71" s="20">
        <f t="shared" ref="J71:J84" si="69">(((H71*$C$67/2000)-$C$66+$E$66)/$E$67)</f>
        <v>10.015425380833333</v>
      </c>
      <c r="L71" s="17">
        <f t="shared" ref="L71:L84" si="70">(((N71*$D$67)-$D$66+$B$66)/$B$67)</f>
        <v>0.53757377250606064</v>
      </c>
      <c r="M71" s="14">
        <f t="shared" ref="M71:M84" si="71">(((N71*$D$67)-$D$66+$C$66)/$C$67)*2000</f>
        <v>303.33639973529421</v>
      </c>
      <c r="N71" s="13">
        <f t="shared" si="62"/>
        <v>3.2500000000000004</v>
      </c>
      <c r="O71" s="13">
        <f t="shared" ref="O71:O84" si="72">(((N71*$D$67)-$D$66+$E$66)/$E$67)</f>
        <v>6.2378213658333364</v>
      </c>
      <c r="Q71" s="9">
        <f t="shared" ref="Q71:Q84" si="73">(((T71*$E$67)-$E$66+$B$66)/$B$67)</f>
        <v>0.58406091787272729</v>
      </c>
      <c r="R71" s="10">
        <f t="shared" ref="R71:R84" si="74">(((T71*$E$67)-$E$66+$C$66)/$C$67)*2000</f>
        <v>323.84543445588235</v>
      </c>
      <c r="S71" s="9">
        <f t="shared" ref="S71:S84" si="75">(((T71*$E$67)-$E$66+$D$66)/$D$67)</f>
        <v>3.660180694411765</v>
      </c>
      <c r="T71" s="9">
        <f t="shared" si="63"/>
        <v>7.4000000000000021</v>
      </c>
    </row>
    <row r="72" spans="1:20" x14ac:dyDescent="0.2">
      <c r="B72" s="18">
        <f t="shared" si="60"/>
        <v>0.57499999999999984</v>
      </c>
      <c r="C72" s="19">
        <f t="shared" si="64"/>
        <v>319.84797068850264</v>
      </c>
      <c r="D72" s="18">
        <f t="shared" si="65"/>
        <v>3.5802314190641704</v>
      </c>
      <c r="E72" s="18">
        <f t="shared" si="66"/>
        <v>7.1734770531818164</v>
      </c>
      <c r="G72" s="20">
        <f t="shared" si="67"/>
        <v>0.71134459977272713</v>
      </c>
      <c r="H72" s="21">
        <f t="shared" si="61"/>
        <v>380</v>
      </c>
      <c r="I72" s="20">
        <f t="shared" si="68"/>
        <v>4.7832720052941173</v>
      </c>
      <c r="J72" s="20">
        <f t="shared" si="69"/>
        <v>10.5820920475</v>
      </c>
      <c r="L72" s="17">
        <f t="shared" si="70"/>
        <v>0.55457377250606066</v>
      </c>
      <c r="M72" s="14">
        <f t="shared" si="71"/>
        <v>310.83639973529415</v>
      </c>
      <c r="N72" s="13">
        <f t="shared" si="62"/>
        <v>3.4000000000000004</v>
      </c>
      <c r="O72" s="13">
        <f t="shared" si="72"/>
        <v>6.6628213658333362</v>
      </c>
      <c r="Q72" s="9">
        <f t="shared" si="73"/>
        <v>0.5980609178727273</v>
      </c>
      <c r="R72" s="10">
        <f t="shared" si="74"/>
        <v>330.02190504411766</v>
      </c>
      <c r="S72" s="9">
        <f t="shared" si="75"/>
        <v>3.7837101061764709</v>
      </c>
      <c r="T72" s="9">
        <f t="shared" si="63"/>
        <v>7.7500000000000018</v>
      </c>
    </row>
    <row r="73" spans="1:20" x14ac:dyDescent="0.2">
      <c r="B73" s="18">
        <f t="shared" si="60"/>
        <v>0.59999999999999987</v>
      </c>
      <c r="C73" s="19">
        <f t="shared" si="64"/>
        <v>330.8773824532085</v>
      </c>
      <c r="D73" s="18">
        <f t="shared" si="65"/>
        <v>3.8008196543582877</v>
      </c>
      <c r="E73" s="18">
        <f t="shared" si="66"/>
        <v>7.7984770531818164</v>
      </c>
      <c r="G73" s="20">
        <f t="shared" si="67"/>
        <v>0.73401126643939385</v>
      </c>
      <c r="H73" s="21">
        <f t="shared" si="61"/>
        <v>390</v>
      </c>
      <c r="I73" s="20">
        <f t="shared" si="68"/>
        <v>4.9832720052941175</v>
      </c>
      <c r="J73" s="20">
        <f t="shared" si="69"/>
        <v>11.148758714166666</v>
      </c>
      <c r="L73" s="17">
        <f t="shared" si="70"/>
        <v>0.57157377250606056</v>
      </c>
      <c r="M73" s="14">
        <f t="shared" si="71"/>
        <v>318.33639973529415</v>
      </c>
      <c r="N73" s="13">
        <f t="shared" si="62"/>
        <v>3.5500000000000003</v>
      </c>
      <c r="O73" s="13">
        <f t="shared" si="72"/>
        <v>7.0878213658333342</v>
      </c>
      <c r="Q73" s="9">
        <f t="shared" si="73"/>
        <v>0.61206091787272721</v>
      </c>
      <c r="R73" s="10">
        <f t="shared" si="74"/>
        <v>336.19837563235302</v>
      </c>
      <c r="S73" s="9">
        <f t="shared" si="75"/>
        <v>3.9072395179411767</v>
      </c>
      <c r="T73" s="9">
        <f t="shared" si="63"/>
        <v>8.1000000000000014</v>
      </c>
    </row>
    <row r="74" spans="1:20" x14ac:dyDescent="0.2">
      <c r="B74" s="18">
        <f t="shared" si="60"/>
        <v>0.62499999999999989</v>
      </c>
      <c r="C74" s="19">
        <f t="shared" si="64"/>
        <v>341.90679421791441</v>
      </c>
      <c r="D74" s="18">
        <f t="shared" si="65"/>
        <v>4.0214078896524059</v>
      </c>
      <c r="E74" s="18">
        <f t="shared" si="66"/>
        <v>8.4234770531818182</v>
      </c>
      <c r="G74" s="20">
        <f t="shared" si="67"/>
        <v>0.75667793310606046</v>
      </c>
      <c r="H74" s="21">
        <f t="shared" si="61"/>
        <v>400</v>
      </c>
      <c r="I74" s="20">
        <f t="shared" si="68"/>
        <v>5.1832720052941177</v>
      </c>
      <c r="J74" s="20">
        <f t="shared" si="69"/>
        <v>11.715425380833333</v>
      </c>
      <c r="L74" s="17">
        <f t="shared" si="70"/>
        <v>0.58857377250606058</v>
      </c>
      <c r="M74" s="14">
        <f t="shared" si="71"/>
        <v>325.83639973529415</v>
      </c>
      <c r="N74" s="13">
        <f t="shared" si="62"/>
        <v>3.7</v>
      </c>
      <c r="O74" s="13">
        <f t="shared" si="72"/>
        <v>7.512821365833334</v>
      </c>
      <c r="Q74" s="9">
        <f t="shared" si="73"/>
        <v>0.62606091787272722</v>
      </c>
      <c r="R74" s="10">
        <f t="shared" si="74"/>
        <v>342.37484622058827</v>
      </c>
      <c r="S74" s="9">
        <f t="shared" si="75"/>
        <v>4.0307689297058822</v>
      </c>
      <c r="T74" s="9">
        <f t="shared" si="63"/>
        <v>8.4500000000000011</v>
      </c>
    </row>
    <row r="75" spans="1:20" x14ac:dyDescent="0.2">
      <c r="B75" s="18">
        <f t="shared" si="60"/>
        <v>0.64999999999999991</v>
      </c>
      <c r="C75" s="19">
        <f t="shared" si="64"/>
        <v>352.93620598262032</v>
      </c>
      <c r="D75" s="18">
        <f t="shared" si="65"/>
        <v>4.2419961249465237</v>
      </c>
      <c r="E75" s="18">
        <f t="shared" si="66"/>
        <v>9.0484770531818182</v>
      </c>
      <c r="G75" s="20">
        <f t="shared" si="67"/>
        <v>0.77934459977272719</v>
      </c>
      <c r="H75" s="21">
        <f t="shared" si="61"/>
        <v>410</v>
      </c>
      <c r="I75" s="20">
        <f t="shared" si="68"/>
        <v>5.383272005294117</v>
      </c>
      <c r="J75" s="20">
        <f t="shared" si="69"/>
        <v>12.282092047499999</v>
      </c>
      <c r="L75" s="17">
        <f t="shared" si="70"/>
        <v>0.60557377250606059</v>
      </c>
      <c r="M75" s="14">
        <f t="shared" si="71"/>
        <v>333.33639973529415</v>
      </c>
      <c r="N75" s="13">
        <f t="shared" si="62"/>
        <v>3.85</v>
      </c>
      <c r="O75" s="13">
        <f t="shared" si="72"/>
        <v>7.9378213658333339</v>
      </c>
      <c r="Q75" s="9">
        <f t="shared" si="73"/>
        <v>0.64006091787272723</v>
      </c>
      <c r="R75" s="10">
        <f t="shared" si="74"/>
        <v>348.55131680882351</v>
      </c>
      <c r="S75" s="9">
        <f t="shared" si="75"/>
        <v>4.1542983414705876</v>
      </c>
      <c r="T75" s="9">
        <f t="shared" si="63"/>
        <v>8.8000000000000007</v>
      </c>
    </row>
    <row r="76" spans="1:20" ht="13.5" thickBot="1" x14ac:dyDescent="0.25">
      <c r="B76" s="18">
        <f>B77-0.025</f>
        <v>0.67499999999999993</v>
      </c>
      <c r="C76" s="19">
        <f t="shared" si="64"/>
        <v>363.96561774732618</v>
      </c>
      <c r="D76" s="18">
        <f t="shared" si="65"/>
        <v>4.4625843602406414</v>
      </c>
      <c r="E76" s="18">
        <f t="shared" si="66"/>
        <v>9.6734770531818182</v>
      </c>
      <c r="G76" s="20">
        <f t="shared" si="67"/>
        <v>0.8020112664393938</v>
      </c>
      <c r="H76" s="21">
        <f>H77-10</f>
        <v>420</v>
      </c>
      <c r="I76" s="20">
        <f t="shared" si="68"/>
        <v>5.5832720052941172</v>
      </c>
      <c r="J76" s="20">
        <f t="shared" si="69"/>
        <v>12.848758714166667</v>
      </c>
      <c r="L76" s="17">
        <f t="shared" si="70"/>
        <v>0.6225737725060605</v>
      </c>
      <c r="M76" s="14">
        <f t="shared" si="71"/>
        <v>340.83639973529415</v>
      </c>
      <c r="N76" s="13">
        <f>N77-0.15</f>
        <v>4</v>
      </c>
      <c r="O76" s="13">
        <f t="shared" si="72"/>
        <v>8.3628213658333337</v>
      </c>
      <c r="Q76" s="9">
        <f t="shared" si="73"/>
        <v>0.65406091787272713</v>
      </c>
      <c r="R76" s="10">
        <f t="shared" si="74"/>
        <v>354.72778739705882</v>
      </c>
      <c r="S76" s="9">
        <f t="shared" si="75"/>
        <v>4.277827753235294</v>
      </c>
      <c r="T76" s="9">
        <f>T77-0.35</f>
        <v>9.15</v>
      </c>
    </row>
    <row r="77" spans="1:20" ht="13.5" thickBot="1" x14ac:dyDescent="0.25">
      <c r="B77" s="24">
        <f>Conventional!$B$8</f>
        <v>0.7</v>
      </c>
      <c r="C77" s="19">
        <f t="shared" si="64"/>
        <v>374.99502951203215</v>
      </c>
      <c r="D77" s="18">
        <f t="shared" si="65"/>
        <v>4.6831725955347601</v>
      </c>
      <c r="E77" s="18">
        <f t="shared" si="66"/>
        <v>10.29847705318182</v>
      </c>
      <c r="G77" s="20">
        <f t="shared" si="67"/>
        <v>0.82467793310606052</v>
      </c>
      <c r="H77" s="22">
        <f>Conventional!$D$8</f>
        <v>430</v>
      </c>
      <c r="I77" s="20">
        <f t="shared" si="68"/>
        <v>5.7832720052941173</v>
      </c>
      <c r="J77" s="20">
        <f t="shared" si="69"/>
        <v>13.415425380833334</v>
      </c>
      <c r="L77" s="17">
        <f t="shared" si="70"/>
        <v>0.63957377250606062</v>
      </c>
      <c r="M77" s="14">
        <f t="shared" si="71"/>
        <v>348.33639973529415</v>
      </c>
      <c r="N77" s="15">
        <f>Conventional!$F$8</f>
        <v>4.1500000000000004</v>
      </c>
      <c r="O77" s="13">
        <f t="shared" si="72"/>
        <v>8.7878213658333362</v>
      </c>
      <c r="Q77" s="9">
        <f t="shared" si="73"/>
        <v>0.66806091787272714</v>
      </c>
      <c r="R77" s="10">
        <f t="shared" si="74"/>
        <v>360.90425798529407</v>
      </c>
      <c r="S77" s="9">
        <f t="shared" si="75"/>
        <v>4.4013571649999994</v>
      </c>
      <c r="T77" s="11">
        <f>Conventional!$H$8</f>
        <v>9.5</v>
      </c>
    </row>
    <row r="78" spans="1:20" x14ac:dyDescent="0.2">
      <c r="B78" s="18">
        <f>B77+0.025</f>
        <v>0.72499999999999998</v>
      </c>
      <c r="C78" s="19">
        <f t="shared" si="64"/>
        <v>386.024441276738</v>
      </c>
      <c r="D78" s="18">
        <f t="shared" si="65"/>
        <v>4.9037608308288778</v>
      </c>
      <c r="E78" s="18">
        <f t="shared" si="66"/>
        <v>10.92347705318182</v>
      </c>
      <c r="G78" s="20">
        <f t="shared" si="67"/>
        <v>0.84734459977272714</v>
      </c>
      <c r="H78" s="21">
        <f>H77+10</f>
        <v>440</v>
      </c>
      <c r="I78" s="20">
        <f t="shared" si="68"/>
        <v>5.9832720052941175</v>
      </c>
      <c r="J78" s="20">
        <f t="shared" si="69"/>
        <v>13.9820920475</v>
      </c>
      <c r="L78" s="17">
        <f t="shared" si="70"/>
        <v>0.65657377250606064</v>
      </c>
      <c r="M78" s="14">
        <f t="shared" si="71"/>
        <v>355.83639973529421</v>
      </c>
      <c r="N78" s="13">
        <f>N77+0.15</f>
        <v>4.3000000000000007</v>
      </c>
      <c r="O78" s="13">
        <f t="shared" si="72"/>
        <v>9.2128213658333369</v>
      </c>
      <c r="Q78" s="9">
        <f t="shared" si="73"/>
        <v>0.68206091787272716</v>
      </c>
      <c r="R78" s="10">
        <f t="shared" si="74"/>
        <v>367.08072857352937</v>
      </c>
      <c r="S78" s="9">
        <f t="shared" si="75"/>
        <v>4.5248865767647057</v>
      </c>
      <c r="T78" s="9">
        <f>T77+0.35</f>
        <v>9.85</v>
      </c>
    </row>
    <row r="79" spans="1:20" x14ac:dyDescent="0.2">
      <c r="B79" s="18">
        <f t="shared" ref="B79:B84" si="76">B78+0.025</f>
        <v>0.75</v>
      </c>
      <c r="C79" s="19">
        <f t="shared" si="64"/>
        <v>397.05385304144392</v>
      </c>
      <c r="D79" s="18">
        <f t="shared" si="65"/>
        <v>5.1243490661229956</v>
      </c>
      <c r="E79" s="18">
        <f t="shared" si="66"/>
        <v>11.54847705318182</v>
      </c>
      <c r="G79" s="20">
        <f t="shared" si="67"/>
        <v>0.87001126643939386</v>
      </c>
      <c r="H79" s="21">
        <f t="shared" ref="H79:H84" si="77">H78+10</f>
        <v>450</v>
      </c>
      <c r="I79" s="20">
        <f t="shared" si="68"/>
        <v>6.1832720052941168</v>
      </c>
      <c r="J79" s="20">
        <f t="shared" si="69"/>
        <v>14.548758714166667</v>
      </c>
      <c r="L79" s="17">
        <f t="shared" si="70"/>
        <v>0.67357377250606065</v>
      </c>
      <c r="M79" s="14">
        <f t="shared" si="71"/>
        <v>363.33639973529421</v>
      </c>
      <c r="N79" s="13">
        <f t="shared" ref="N79:N84" si="78">N78+0.15</f>
        <v>4.4500000000000011</v>
      </c>
      <c r="O79" s="13">
        <f t="shared" si="72"/>
        <v>9.6378213658333376</v>
      </c>
      <c r="Q79" s="9">
        <f t="shared" si="73"/>
        <v>0.69606091787272728</v>
      </c>
      <c r="R79" s="10">
        <f t="shared" si="74"/>
        <v>373.25719916176467</v>
      </c>
      <c r="S79" s="9">
        <f t="shared" si="75"/>
        <v>4.6484159885294112</v>
      </c>
      <c r="T79" s="9">
        <f t="shared" ref="T79:T84" si="79">T78+0.35</f>
        <v>10.199999999999999</v>
      </c>
    </row>
    <row r="80" spans="1:20" x14ac:dyDescent="0.2">
      <c r="B80" s="18">
        <f t="shared" si="76"/>
        <v>0.77500000000000002</v>
      </c>
      <c r="C80" s="19">
        <f t="shared" si="64"/>
        <v>408.08326480614977</v>
      </c>
      <c r="D80" s="18">
        <f t="shared" si="65"/>
        <v>5.3449373014171124</v>
      </c>
      <c r="E80" s="18">
        <f t="shared" si="66"/>
        <v>12.17347705318182</v>
      </c>
      <c r="G80" s="20">
        <f t="shared" si="67"/>
        <v>0.89267793310606047</v>
      </c>
      <c r="H80" s="21">
        <f t="shared" si="77"/>
        <v>460</v>
      </c>
      <c r="I80" s="20">
        <f t="shared" si="68"/>
        <v>6.383272005294117</v>
      </c>
      <c r="J80" s="20">
        <f t="shared" si="69"/>
        <v>15.115425380833333</v>
      </c>
      <c r="L80" s="17">
        <f t="shared" si="70"/>
        <v>0.69057377250606078</v>
      </c>
      <c r="M80" s="14">
        <f t="shared" si="71"/>
        <v>370.83639973529415</v>
      </c>
      <c r="N80" s="13">
        <f t="shared" si="78"/>
        <v>4.6000000000000014</v>
      </c>
      <c r="O80" s="13">
        <f t="shared" si="72"/>
        <v>10.062821365833338</v>
      </c>
      <c r="Q80" s="9">
        <f t="shared" si="73"/>
        <v>0.71006091787272707</v>
      </c>
      <c r="R80" s="10">
        <f t="shared" si="74"/>
        <v>379.43366974999998</v>
      </c>
      <c r="S80" s="9">
        <f t="shared" si="75"/>
        <v>4.7719454002941166</v>
      </c>
      <c r="T80" s="9">
        <f t="shared" si="79"/>
        <v>10.549999999999999</v>
      </c>
    </row>
    <row r="81" spans="1:20" x14ac:dyDescent="0.2">
      <c r="B81" s="18">
        <f t="shared" si="76"/>
        <v>0.8</v>
      </c>
      <c r="C81" s="19">
        <f t="shared" si="64"/>
        <v>419.11267657085568</v>
      </c>
      <c r="D81" s="18">
        <f t="shared" si="65"/>
        <v>5.5655255367112302</v>
      </c>
      <c r="E81" s="18">
        <f t="shared" si="66"/>
        <v>12.79847705318182</v>
      </c>
      <c r="G81" s="20">
        <f t="shared" si="67"/>
        <v>0.9153445997727272</v>
      </c>
      <c r="H81" s="21">
        <f t="shared" si="77"/>
        <v>470</v>
      </c>
      <c r="I81" s="20">
        <f t="shared" si="68"/>
        <v>6.5832720052941163</v>
      </c>
      <c r="J81" s="20">
        <f t="shared" si="69"/>
        <v>15.682092047499999</v>
      </c>
      <c r="L81" s="17">
        <f t="shared" si="70"/>
        <v>0.70757377250606079</v>
      </c>
      <c r="M81" s="14">
        <f t="shared" si="71"/>
        <v>378.33639973529426</v>
      </c>
      <c r="N81" s="13">
        <f t="shared" si="78"/>
        <v>4.7500000000000018</v>
      </c>
      <c r="O81" s="13">
        <f t="shared" si="72"/>
        <v>10.487821365833339</v>
      </c>
      <c r="Q81" s="9">
        <f t="shared" si="73"/>
        <v>0.72406091787272708</v>
      </c>
      <c r="R81" s="10">
        <f t="shared" si="74"/>
        <v>385.61014033823528</v>
      </c>
      <c r="S81" s="9">
        <f t="shared" si="75"/>
        <v>4.895474812058823</v>
      </c>
      <c r="T81" s="9">
        <f t="shared" si="79"/>
        <v>10.899999999999999</v>
      </c>
    </row>
    <row r="82" spans="1:20" x14ac:dyDescent="0.2">
      <c r="B82" s="18">
        <f t="shared" si="76"/>
        <v>0.82500000000000007</v>
      </c>
      <c r="C82" s="19">
        <f t="shared" si="64"/>
        <v>430.14208833556154</v>
      </c>
      <c r="D82" s="18">
        <f t="shared" si="65"/>
        <v>5.7861137720053479</v>
      </c>
      <c r="E82" s="18">
        <f t="shared" si="66"/>
        <v>13.42347705318182</v>
      </c>
      <c r="G82" s="20">
        <f t="shared" si="67"/>
        <v>0.93801126643939381</v>
      </c>
      <c r="H82" s="21">
        <f t="shared" si="77"/>
        <v>480</v>
      </c>
      <c r="I82" s="20">
        <f t="shared" si="68"/>
        <v>6.7832720052941164</v>
      </c>
      <c r="J82" s="20">
        <f t="shared" si="69"/>
        <v>16.248758714166666</v>
      </c>
      <c r="L82" s="17">
        <f t="shared" si="70"/>
        <v>0.72457377250606081</v>
      </c>
      <c r="M82" s="14">
        <f t="shared" si="71"/>
        <v>385.83639973529421</v>
      </c>
      <c r="N82" s="13">
        <f t="shared" si="78"/>
        <v>4.9000000000000021</v>
      </c>
      <c r="O82" s="13">
        <f t="shared" si="72"/>
        <v>10.91282136583334</v>
      </c>
      <c r="Q82" s="9">
        <f t="shared" si="73"/>
        <v>0.7380609178727271</v>
      </c>
      <c r="R82" s="10">
        <f t="shared" si="74"/>
        <v>391.78661092647053</v>
      </c>
      <c r="S82" s="9">
        <f t="shared" si="75"/>
        <v>5.0190042238235284</v>
      </c>
      <c r="T82" s="9">
        <f t="shared" si="79"/>
        <v>11.249999999999998</v>
      </c>
    </row>
    <row r="83" spans="1:20" x14ac:dyDescent="0.2">
      <c r="B83" s="18">
        <f t="shared" si="76"/>
        <v>0.85000000000000009</v>
      </c>
      <c r="C83" s="19">
        <f t="shared" si="64"/>
        <v>441.17150010026751</v>
      </c>
      <c r="D83" s="18">
        <f t="shared" si="65"/>
        <v>6.0067020072994675</v>
      </c>
      <c r="E83" s="18">
        <f t="shared" si="66"/>
        <v>14.048477053181823</v>
      </c>
      <c r="G83" s="20">
        <f t="shared" si="67"/>
        <v>0.96067793310606053</v>
      </c>
      <c r="H83" s="21">
        <f t="shared" si="77"/>
        <v>490</v>
      </c>
      <c r="I83" s="20">
        <f t="shared" si="68"/>
        <v>6.9832720052941166</v>
      </c>
      <c r="J83" s="20">
        <f t="shared" si="69"/>
        <v>16.815425380833332</v>
      </c>
      <c r="L83" s="17">
        <f t="shared" si="70"/>
        <v>0.74157377250606082</v>
      </c>
      <c r="M83" s="14">
        <f t="shared" si="71"/>
        <v>393.33639973529432</v>
      </c>
      <c r="N83" s="13">
        <f t="shared" si="78"/>
        <v>5.0500000000000025</v>
      </c>
      <c r="O83" s="13">
        <f t="shared" si="72"/>
        <v>11.337821365833342</v>
      </c>
      <c r="Q83" s="9">
        <f t="shared" si="73"/>
        <v>0.75206091787272711</v>
      </c>
      <c r="R83" s="10">
        <f t="shared" si="74"/>
        <v>397.96308151470583</v>
      </c>
      <c r="S83" s="9">
        <f t="shared" si="75"/>
        <v>5.1425336355882347</v>
      </c>
      <c r="T83" s="9">
        <f t="shared" si="79"/>
        <v>11.599999999999998</v>
      </c>
    </row>
    <row r="84" spans="1:20" x14ac:dyDescent="0.2">
      <c r="A84" s="46"/>
      <c r="B84" s="47">
        <f t="shared" si="76"/>
        <v>0.87500000000000011</v>
      </c>
      <c r="C84" s="48">
        <f t="shared" si="64"/>
        <v>452.20091186497336</v>
      </c>
      <c r="D84" s="47">
        <f t="shared" si="65"/>
        <v>6.2272902425935843</v>
      </c>
      <c r="E84" s="47">
        <f t="shared" si="66"/>
        <v>14.673477053181823</v>
      </c>
      <c r="F84" s="46"/>
      <c r="G84" s="49">
        <f t="shared" si="67"/>
        <v>0.98334459977272715</v>
      </c>
      <c r="H84" s="50">
        <f t="shared" si="77"/>
        <v>500</v>
      </c>
      <c r="I84" s="49">
        <f t="shared" si="68"/>
        <v>7.1832720052941168</v>
      </c>
      <c r="J84" s="49">
        <f t="shared" si="69"/>
        <v>17.382092047500002</v>
      </c>
      <c r="K84" s="46"/>
      <c r="L84" s="51">
        <f t="shared" si="70"/>
        <v>0.75857377250606073</v>
      </c>
      <c r="M84" s="52">
        <f t="shared" si="71"/>
        <v>400.83639973529426</v>
      </c>
      <c r="N84" s="53">
        <f t="shared" si="78"/>
        <v>5.2000000000000028</v>
      </c>
      <c r="O84" s="53">
        <f t="shared" si="72"/>
        <v>11.762821365833341</v>
      </c>
      <c r="P84" s="46"/>
      <c r="Q84" s="54">
        <f t="shared" si="73"/>
        <v>0.76606091787272712</v>
      </c>
      <c r="R84" s="55">
        <f t="shared" si="74"/>
        <v>404.1395521029412</v>
      </c>
      <c r="S84" s="54">
        <f t="shared" si="75"/>
        <v>5.2660630473529402</v>
      </c>
      <c r="T84" s="54">
        <f t="shared" si="79"/>
        <v>11.949999999999998</v>
      </c>
    </row>
  </sheetData>
  <mergeCells count="18">
    <mergeCell ref="B68:E68"/>
    <mergeCell ref="G68:J68"/>
    <mergeCell ref="L68:O68"/>
    <mergeCell ref="Q68:T68"/>
    <mergeCell ref="B5:E5"/>
    <mergeCell ref="A1:T1"/>
    <mergeCell ref="B47:E47"/>
    <mergeCell ref="G47:J47"/>
    <mergeCell ref="L47:O47"/>
    <mergeCell ref="Q47:T47"/>
    <mergeCell ref="A43:T43"/>
    <mergeCell ref="G5:J5"/>
    <mergeCell ref="L5:O5"/>
    <mergeCell ref="Q5:T5"/>
    <mergeCell ref="B26:E26"/>
    <mergeCell ref="G26:J26"/>
    <mergeCell ref="L26:O26"/>
    <mergeCell ref="Q26:T26"/>
  </mergeCells>
  <pageMargins left="0.7" right="0.7" top="0.75" bottom="0.75" header="0.3" footer="0.3"/>
  <pageSetup scale="85" orientation="landscape" horizontalDpi="300" verticalDpi="300"/>
  <rowBreaks count="1" manualBreakCount="1">
    <brk id="42" max="16383" man="1"/>
  </rowBreaks>
  <ignoredErrors>
    <ignoredError sqref="B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99"/>
    <pageSetUpPr fitToPage="1"/>
  </sheetPr>
  <dimension ref="A1:AP218"/>
  <sheetViews>
    <sheetView zoomScale="170" zoomScaleNormal="170" zoomScalePageLayoutView="170" workbookViewId="0">
      <pane xSplit="1" ySplit="8" topLeftCell="B30" activePane="bottomRight" state="frozen"/>
      <selection activeCell="B18" sqref="B18:C18"/>
      <selection pane="topRight" activeCell="B18" sqref="B18:C18"/>
      <selection pane="bottomLeft" activeCell="B18" sqref="B18:C18"/>
      <selection pane="bottomRight"/>
    </sheetView>
  </sheetViews>
  <sheetFormatPr defaultColWidth="8.85546875" defaultRowHeight="12.75" x14ac:dyDescent="0.2"/>
  <cols>
    <col min="1" max="1" width="28.28515625" style="96" customWidth="1"/>
    <col min="2" max="2" width="7.42578125" style="101" bestFit="1" customWidth="1"/>
    <col min="3" max="3" width="3" style="101" bestFit="1" customWidth="1"/>
    <col min="4" max="4" width="5.42578125" style="101" bestFit="1" customWidth="1"/>
    <col min="5" max="5" width="4" style="101" bestFit="1" customWidth="1"/>
    <col min="6" max="6" width="5.42578125" style="101" bestFit="1" customWidth="1"/>
    <col min="7" max="7" width="3.42578125" style="101" bestFit="1" customWidth="1"/>
    <col min="8" max="8" width="5.42578125" style="101" bestFit="1" customWidth="1"/>
    <col min="9" max="9" width="3.42578125" style="101" bestFit="1" customWidth="1"/>
    <col min="10" max="10" width="5.42578125" style="101" bestFit="1" customWidth="1"/>
    <col min="11" max="11" width="3.42578125" style="101" bestFit="1" customWidth="1"/>
    <col min="12" max="12" width="5.42578125" style="101" bestFit="1" customWidth="1"/>
    <col min="13" max="13" width="3" style="101" bestFit="1" customWidth="1"/>
    <col min="14" max="14" width="5.42578125" style="101" bestFit="1" customWidth="1"/>
    <col min="15" max="15" width="4" style="101" bestFit="1" customWidth="1"/>
    <col min="16" max="16" width="5.42578125" style="101" bestFit="1" customWidth="1"/>
    <col min="17" max="17" width="3.42578125" style="101" bestFit="1" customWidth="1"/>
    <col min="18" max="18" width="5.42578125" style="101" bestFit="1" customWidth="1"/>
    <col min="19" max="19" width="3.42578125" style="101" bestFit="1" customWidth="1"/>
    <col min="20" max="20" width="5.42578125" style="101" bestFit="1" customWidth="1"/>
    <col min="21" max="21" width="3.42578125" style="101" bestFit="1" customWidth="1"/>
    <col min="22" max="22" width="8.85546875" style="101"/>
    <col min="23" max="23" width="9" style="100" bestFit="1" customWidth="1"/>
    <col min="24" max="24" width="2" style="100" bestFit="1" customWidth="1"/>
    <col min="25" max="25" width="6" style="100" bestFit="1" customWidth="1"/>
    <col min="26" max="26" width="2" style="100" bestFit="1" customWidth="1"/>
    <col min="27" max="27" width="7" style="100" bestFit="1" customWidth="1"/>
    <col min="28" max="28" width="2" style="100" bestFit="1" customWidth="1"/>
    <col min="29" max="29" width="9" style="100" bestFit="1" customWidth="1"/>
    <col min="30" max="30" width="2" style="100" bestFit="1" customWidth="1"/>
    <col min="31" max="31" width="7" style="100" bestFit="1" customWidth="1"/>
    <col min="32" max="32" width="2" style="100" bestFit="1" customWidth="1"/>
    <col min="33" max="33" width="8" style="100" bestFit="1" customWidth="1"/>
    <col min="34" max="34" width="2" style="100" bestFit="1" customWidth="1"/>
    <col min="35" max="35" width="6" style="101" bestFit="1" customWidth="1"/>
    <col min="36" max="37" width="2" style="101" bestFit="1" customWidth="1"/>
    <col min="38" max="38" width="12" style="101" bestFit="1" customWidth="1"/>
    <col min="39" max="39" width="2" style="101" bestFit="1" customWidth="1"/>
    <col min="40" max="40" width="7" style="101" bestFit="1" customWidth="1"/>
    <col min="41" max="41" width="2" style="101" bestFit="1" customWidth="1"/>
    <col min="42" max="42" width="9" style="101" bestFit="1" customWidth="1"/>
    <col min="43" max="16384" width="8.85546875" style="101"/>
  </cols>
  <sheetData>
    <row r="1" spans="1:34" s="96" customFormat="1" ht="12" x14ac:dyDescent="0.2">
      <c r="A1" s="94" t="str">
        <f>Conventional!A1</f>
        <v>Estimate of 2017 Row Crop Costs and Returns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319" customFormat="1" ht="11.25" x14ac:dyDescent="0.2">
      <c r="A2" s="316" t="str">
        <f>Conventional!A2</f>
        <v>By A.R. Smith, A.N. Rabinowitz and W.D. Shurley, UGA Extension Economists, Department of Agricultural &amp; Applied Economics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7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4" x14ac:dyDescent="0.2">
      <c r="A3" s="297" t="str">
        <f>Conventional!A3</f>
        <v>January 2017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  <c r="V3" s="100"/>
    </row>
    <row r="4" spans="1:34" x14ac:dyDescent="0.2">
      <c r="A4" s="102" t="s">
        <v>26</v>
      </c>
      <c r="B4" s="403" t="s">
        <v>0</v>
      </c>
      <c r="C4" s="404"/>
      <c r="D4" s="404"/>
      <c r="E4" s="404"/>
      <c r="F4" s="404"/>
      <c r="G4" s="404"/>
      <c r="H4" s="404"/>
      <c r="I4" s="404"/>
      <c r="J4" s="404"/>
      <c r="K4" s="103"/>
      <c r="L4" s="397" t="s">
        <v>1</v>
      </c>
      <c r="M4" s="397"/>
      <c r="N4" s="397"/>
      <c r="O4" s="397"/>
      <c r="P4" s="397"/>
      <c r="Q4" s="397"/>
      <c r="R4" s="397"/>
      <c r="S4" s="397"/>
      <c r="T4" s="397"/>
      <c r="U4" s="104"/>
      <c r="V4" s="100"/>
    </row>
    <row r="5" spans="1:34" x14ac:dyDescent="0.2">
      <c r="A5" s="105"/>
      <c r="B5" s="106"/>
      <c r="C5" s="107"/>
      <c r="D5" s="291"/>
      <c r="E5" s="292"/>
      <c r="F5" s="259"/>
      <c r="G5" s="248"/>
      <c r="H5" s="235"/>
      <c r="I5" s="248"/>
      <c r="J5" s="393" t="s">
        <v>23</v>
      </c>
      <c r="K5" s="436"/>
      <c r="L5" s="107"/>
      <c r="M5" s="107"/>
      <c r="N5" s="295"/>
      <c r="O5" s="296"/>
      <c r="P5" s="259"/>
      <c r="Q5" s="248"/>
      <c r="R5" s="235"/>
      <c r="S5" s="248"/>
      <c r="T5" s="438" t="s">
        <v>23</v>
      </c>
      <c r="U5" s="439"/>
      <c r="V5" s="100"/>
    </row>
    <row r="6" spans="1:34" x14ac:dyDescent="0.2">
      <c r="A6" s="105"/>
      <c r="B6" s="399" t="s">
        <v>2</v>
      </c>
      <c r="C6" s="397"/>
      <c r="D6" s="433" t="s">
        <v>3</v>
      </c>
      <c r="E6" s="434"/>
      <c r="F6" s="402" t="s">
        <v>4</v>
      </c>
      <c r="G6" s="435"/>
      <c r="H6" s="397" t="s">
        <v>5</v>
      </c>
      <c r="I6" s="435"/>
      <c r="J6" s="397" t="s">
        <v>6</v>
      </c>
      <c r="K6" s="437"/>
      <c r="L6" s="399" t="s">
        <v>2</v>
      </c>
      <c r="M6" s="397"/>
      <c r="N6" s="433" t="s">
        <v>3</v>
      </c>
      <c r="O6" s="434"/>
      <c r="P6" s="402" t="s">
        <v>4</v>
      </c>
      <c r="Q6" s="435"/>
      <c r="R6" s="397" t="s">
        <v>5</v>
      </c>
      <c r="S6" s="435"/>
      <c r="T6" s="397" t="s">
        <v>6</v>
      </c>
      <c r="U6" s="398"/>
      <c r="V6" s="100"/>
    </row>
    <row r="7" spans="1:34" x14ac:dyDescent="0.2">
      <c r="A7" s="108" t="s">
        <v>154</v>
      </c>
      <c r="B7" s="289">
        <v>1200</v>
      </c>
      <c r="C7" s="287" t="s">
        <v>158</v>
      </c>
      <c r="D7" s="278">
        <f>'Peanut Price Calculator'!B10</f>
        <v>4700</v>
      </c>
      <c r="E7" s="293" t="s">
        <v>158</v>
      </c>
      <c r="F7" s="282">
        <v>200</v>
      </c>
      <c r="G7" s="283" t="s">
        <v>161</v>
      </c>
      <c r="H7" s="284">
        <v>60</v>
      </c>
      <c r="I7" s="283" t="s">
        <v>161</v>
      </c>
      <c r="J7" s="284">
        <v>100</v>
      </c>
      <c r="K7" s="286" t="s">
        <v>161</v>
      </c>
      <c r="L7" s="284">
        <v>750</v>
      </c>
      <c r="M7" s="287" t="s">
        <v>158</v>
      </c>
      <c r="N7" s="278">
        <f>'Peanut Price Calculator'!B21</f>
        <v>3400</v>
      </c>
      <c r="O7" s="293" t="s">
        <v>158</v>
      </c>
      <c r="P7" s="282">
        <v>85</v>
      </c>
      <c r="Q7" s="283" t="s">
        <v>161</v>
      </c>
      <c r="R7" s="284">
        <v>30</v>
      </c>
      <c r="S7" s="283" t="s">
        <v>161</v>
      </c>
      <c r="T7" s="284">
        <v>65</v>
      </c>
      <c r="U7" s="285" t="s">
        <v>161</v>
      </c>
      <c r="V7" s="100"/>
    </row>
    <row r="8" spans="1:34" ht="13.5" thickBot="1" x14ac:dyDescent="0.25">
      <c r="A8" s="109" t="s">
        <v>124</v>
      </c>
      <c r="B8" s="290">
        <f>Conventional!B8</f>
        <v>0.7</v>
      </c>
      <c r="C8" s="276" t="s">
        <v>159</v>
      </c>
      <c r="D8" s="280">
        <f>'Peanut Price Calculator'!B17</f>
        <v>430</v>
      </c>
      <c r="E8" s="294" t="s">
        <v>160</v>
      </c>
      <c r="F8" s="273">
        <f>Conventional!F8</f>
        <v>4.1500000000000004</v>
      </c>
      <c r="G8" s="270" t="s">
        <v>162</v>
      </c>
      <c r="H8" s="274">
        <f>Conventional!H8</f>
        <v>9.5</v>
      </c>
      <c r="I8" s="270" t="s">
        <v>162</v>
      </c>
      <c r="J8" s="274">
        <f>Conventional!J8</f>
        <v>3.75</v>
      </c>
      <c r="K8" s="275" t="s">
        <v>162</v>
      </c>
      <c r="L8" s="274">
        <f>Conventional!B8</f>
        <v>0.7</v>
      </c>
      <c r="M8" s="276" t="s">
        <v>159</v>
      </c>
      <c r="N8" s="280">
        <f>'Peanut Price Calculator'!B28</f>
        <v>430</v>
      </c>
      <c r="O8" s="294" t="s">
        <v>160</v>
      </c>
      <c r="P8" s="273">
        <f>Conventional!F8</f>
        <v>4.1500000000000004</v>
      </c>
      <c r="Q8" s="270" t="s">
        <v>162</v>
      </c>
      <c r="R8" s="274">
        <f>Conventional!H8</f>
        <v>9.5</v>
      </c>
      <c r="S8" s="270" t="s">
        <v>162</v>
      </c>
      <c r="T8" s="274">
        <f>Conventional!J8</f>
        <v>3.75</v>
      </c>
      <c r="U8" s="272" t="s">
        <v>162</v>
      </c>
      <c r="V8" s="100"/>
    </row>
    <row r="9" spans="1:34" x14ac:dyDescent="0.2">
      <c r="A9" s="110" t="s">
        <v>155</v>
      </c>
      <c r="B9" s="384">
        <f>B7*B8</f>
        <v>840</v>
      </c>
      <c r="C9" s="379"/>
      <c r="D9" s="387">
        <f>D8*(D7/2000)</f>
        <v>1010.5</v>
      </c>
      <c r="E9" s="379"/>
      <c r="F9" s="387">
        <f>F7*F8</f>
        <v>830.00000000000011</v>
      </c>
      <c r="G9" s="431"/>
      <c r="H9" s="379">
        <f>H7*H8</f>
        <v>570</v>
      </c>
      <c r="I9" s="431"/>
      <c r="J9" s="379">
        <f>J7*J8</f>
        <v>375</v>
      </c>
      <c r="K9" s="432"/>
      <c r="L9" s="384">
        <f>L7*L8</f>
        <v>525</v>
      </c>
      <c r="M9" s="379"/>
      <c r="N9" s="387">
        <f>N8*(N7/2000)</f>
        <v>731</v>
      </c>
      <c r="O9" s="379"/>
      <c r="P9" s="387">
        <f>P7*P8</f>
        <v>352.75000000000006</v>
      </c>
      <c r="Q9" s="431"/>
      <c r="R9" s="379">
        <f>R7*R8</f>
        <v>285</v>
      </c>
      <c r="S9" s="431"/>
      <c r="T9" s="440">
        <f>T7*T8</f>
        <v>243.75</v>
      </c>
      <c r="U9" s="441"/>
      <c r="V9" s="100"/>
    </row>
    <row r="10" spans="1:34" x14ac:dyDescent="0.2">
      <c r="A10" s="111" t="s">
        <v>156</v>
      </c>
      <c r="B10" s="112"/>
      <c r="C10" s="113"/>
      <c r="D10" s="249"/>
      <c r="E10" s="113"/>
      <c r="F10" s="249"/>
      <c r="G10" s="250"/>
      <c r="H10" s="113"/>
      <c r="I10" s="250"/>
      <c r="J10" s="113"/>
      <c r="K10" s="114"/>
      <c r="L10" s="113"/>
      <c r="M10" s="113"/>
      <c r="N10" s="249"/>
      <c r="O10" s="113"/>
      <c r="P10" s="249"/>
      <c r="Q10" s="250"/>
      <c r="R10" s="113"/>
      <c r="S10" s="250"/>
      <c r="T10" s="113"/>
      <c r="U10" s="115"/>
      <c r="V10" s="100"/>
    </row>
    <row r="11" spans="1:34" x14ac:dyDescent="0.2">
      <c r="A11" s="105" t="s">
        <v>24</v>
      </c>
      <c r="B11" s="386">
        <f>95.31+15.57</f>
        <v>110.88</v>
      </c>
      <c r="C11" s="377"/>
      <c r="D11" s="385">
        <v>105</v>
      </c>
      <c r="E11" s="377"/>
      <c r="F11" s="385">
        <v>94.4</v>
      </c>
      <c r="G11" s="442"/>
      <c r="H11" s="377">
        <v>51.5</v>
      </c>
      <c r="I11" s="442"/>
      <c r="J11" s="377">
        <f>20.7</f>
        <v>20.7</v>
      </c>
      <c r="K11" s="443"/>
      <c r="L11" s="386">
        <f>95.31+15.57</f>
        <v>110.88</v>
      </c>
      <c r="M11" s="377"/>
      <c r="N11" s="385">
        <v>105</v>
      </c>
      <c r="O11" s="377"/>
      <c r="P11" s="385">
        <v>51</v>
      </c>
      <c r="Q11" s="442"/>
      <c r="R11" s="377">
        <v>51.5</v>
      </c>
      <c r="S11" s="442"/>
      <c r="T11" s="377">
        <f>12.75</f>
        <v>12.75</v>
      </c>
      <c r="U11" s="378"/>
      <c r="V11" s="100"/>
    </row>
    <row r="12" spans="1:34" x14ac:dyDescent="0.2">
      <c r="A12" s="105" t="s">
        <v>30</v>
      </c>
      <c r="B12" s="348"/>
      <c r="C12" s="349"/>
      <c r="D12" s="336"/>
      <c r="E12" s="349"/>
      <c r="F12" s="336"/>
      <c r="G12" s="337"/>
      <c r="H12" s="349"/>
      <c r="I12" s="337"/>
      <c r="J12" s="349"/>
      <c r="K12" s="390"/>
      <c r="L12" s="348"/>
      <c r="M12" s="349"/>
      <c r="N12" s="336"/>
      <c r="O12" s="349"/>
      <c r="P12" s="336"/>
      <c r="Q12" s="337"/>
      <c r="R12" s="349"/>
      <c r="S12" s="337"/>
      <c r="T12" s="349"/>
      <c r="U12" s="356"/>
      <c r="V12" s="100"/>
    </row>
    <row r="13" spans="1:34" x14ac:dyDescent="0.2">
      <c r="A13" s="105" t="s">
        <v>8</v>
      </c>
      <c r="B13" s="348">
        <f>B7/495*0.75</f>
        <v>1.8181818181818183</v>
      </c>
      <c r="C13" s="349"/>
      <c r="D13" s="251"/>
      <c r="E13" s="116"/>
      <c r="F13" s="251"/>
      <c r="G13" s="252"/>
      <c r="H13" s="116"/>
      <c r="I13" s="252"/>
      <c r="J13" s="116"/>
      <c r="K13" s="117"/>
      <c r="L13" s="348">
        <f>L7/495*0.75</f>
        <v>1.1363636363636362</v>
      </c>
      <c r="M13" s="349"/>
      <c r="N13" s="251"/>
      <c r="O13" s="116"/>
      <c r="P13" s="251"/>
      <c r="Q13" s="252"/>
      <c r="R13" s="116"/>
      <c r="S13" s="252"/>
      <c r="T13" s="116"/>
      <c r="U13" s="118"/>
      <c r="V13" s="100"/>
    </row>
    <row r="14" spans="1:34" x14ac:dyDescent="0.2">
      <c r="A14" s="105" t="s">
        <v>31</v>
      </c>
      <c r="B14" s="348">
        <f>14.85+5.5+B7*0.075*$D$48+0.0583*B7*$F$48+0.0583*B7*$H$48</f>
        <v>105.0232</v>
      </c>
      <c r="C14" s="337"/>
      <c r="D14" s="339">
        <f>52.5+8+2.93</f>
        <v>63.43</v>
      </c>
      <c r="E14" s="339"/>
      <c r="F14" s="336">
        <f>21+1.2*F7*$D$48+0.5*F7*$F$48+F7*$H$48</f>
        <v>216.8</v>
      </c>
      <c r="G14" s="337"/>
      <c r="H14" s="349">
        <f>4+13.86+0.6667*H7*$F$48+1.333*H7*$H$48+2.93</f>
        <v>58.785180000000004</v>
      </c>
      <c r="I14" s="337"/>
      <c r="J14" s="349">
        <f>21+1.25*J7*$D$48+0.6*J7*$F$48+0.9*J7*$H$48</f>
        <v>122.10000000000001</v>
      </c>
      <c r="K14" s="390"/>
      <c r="L14" s="348">
        <f>14.85+5.5+0.08*L7*$D$48+0.0667*L7*$F$48+0.0667*L7*$H$48</f>
        <v>79.066749999999999</v>
      </c>
      <c r="M14" s="349"/>
      <c r="N14" s="339">
        <f>52.5+8+2.93</f>
        <v>63.43</v>
      </c>
      <c r="O14" s="339"/>
      <c r="P14" s="336">
        <f>10.5+P7*1.1765*$D$48+0.4706*P7*$F$48+0.7059*P7*$H$48</f>
        <v>84.901860000000013</v>
      </c>
      <c r="Q14" s="337"/>
      <c r="R14" s="349">
        <f>4+13.86+1.3333*R7*$F$48+2.6667*R7*$H$48+2.93</f>
        <v>58.78989</v>
      </c>
      <c r="S14" s="337"/>
      <c r="T14" s="349">
        <f>10.5+1.2308*T7*$D$48+0.6154*T7*$F$48+0.9231*T7*$H$48</f>
        <v>76.501649999999998</v>
      </c>
      <c r="U14" s="356"/>
      <c r="V14" s="100"/>
    </row>
    <row r="15" spans="1:34" x14ac:dyDescent="0.2">
      <c r="A15" s="105" t="s">
        <v>125</v>
      </c>
      <c r="B15" s="119"/>
      <c r="C15" s="116"/>
      <c r="D15" s="251"/>
      <c r="E15" s="116"/>
      <c r="F15" s="251"/>
      <c r="G15" s="252"/>
      <c r="H15" s="116"/>
      <c r="I15" s="252"/>
      <c r="J15" s="116"/>
      <c r="K15" s="117"/>
      <c r="L15" s="116"/>
      <c r="M15" s="116"/>
      <c r="N15" s="251"/>
      <c r="O15" s="116"/>
      <c r="P15" s="251"/>
      <c r="Q15" s="252"/>
      <c r="R15" s="116"/>
      <c r="S15" s="252"/>
      <c r="T15" s="116"/>
      <c r="U15" s="118"/>
      <c r="V15" s="100"/>
    </row>
    <row r="16" spans="1:34" x14ac:dyDescent="0.2">
      <c r="A16" s="105" t="s">
        <v>9</v>
      </c>
      <c r="B16" s="348">
        <f>14.01+12.72+35.4+15.49+7.7+2.81+11.63</f>
        <v>99.759999999999991</v>
      </c>
      <c r="C16" s="349"/>
      <c r="D16" s="336">
        <f>49.85+41.99+87.63</f>
        <v>179.47</v>
      </c>
      <c r="E16" s="349"/>
      <c r="F16" s="336">
        <f>18.06+8.64+27.3</f>
        <v>54</v>
      </c>
      <c r="G16" s="337"/>
      <c r="H16" s="349">
        <f>31.28+3.66+21</f>
        <v>55.94</v>
      </c>
      <c r="I16" s="337"/>
      <c r="J16" s="349">
        <f>15.6+11.48</f>
        <v>27.08</v>
      </c>
      <c r="K16" s="390"/>
      <c r="L16" s="348">
        <f>14.01+12.72+35.4+15.49+7.7+2.03+8.63</f>
        <v>95.97999999999999</v>
      </c>
      <c r="M16" s="349"/>
      <c r="N16" s="336">
        <f>55.52+41.99+46.92</f>
        <v>144.43</v>
      </c>
      <c r="O16" s="349"/>
      <c r="P16" s="336">
        <f>18.06+8.64+27.3</f>
        <v>54</v>
      </c>
      <c r="Q16" s="337"/>
      <c r="R16" s="349">
        <f>27.88+3.66</f>
        <v>31.54</v>
      </c>
      <c r="S16" s="337"/>
      <c r="T16" s="349">
        <f>15.6+11.48</f>
        <v>27.08</v>
      </c>
      <c r="U16" s="356"/>
      <c r="V16" s="100"/>
    </row>
    <row r="17" spans="1:42" x14ac:dyDescent="0.2">
      <c r="A17" s="105" t="s">
        <v>172</v>
      </c>
      <c r="B17" s="348"/>
      <c r="C17" s="349"/>
      <c r="D17" s="251"/>
      <c r="E17" s="116"/>
      <c r="F17" s="251"/>
      <c r="G17" s="252"/>
      <c r="H17" s="116"/>
      <c r="I17" s="252"/>
      <c r="J17" s="116"/>
      <c r="K17" s="117"/>
      <c r="L17" s="348"/>
      <c r="M17" s="349"/>
      <c r="N17" s="251"/>
      <c r="O17" s="116"/>
      <c r="P17" s="251"/>
      <c r="Q17" s="252"/>
      <c r="R17" s="116"/>
      <c r="S17" s="252"/>
      <c r="T17" s="116"/>
      <c r="U17" s="118"/>
      <c r="V17" s="100"/>
    </row>
    <row r="18" spans="1:42" x14ac:dyDescent="0.2">
      <c r="A18" s="105" t="s">
        <v>174</v>
      </c>
      <c r="B18" s="348">
        <f>Conventional!B17</f>
        <v>15</v>
      </c>
      <c r="C18" s="349"/>
      <c r="D18" s="336">
        <f>Conventional!D17</f>
        <v>15</v>
      </c>
      <c r="E18" s="337"/>
      <c r="F18" s="251"/>
      <c r="G18" s="252"/>
      <c r="H18" s="116"/>
      <c r="I18" s="252"/>
      <c r="J18" s="116"/>
      <c r="K18" s="117"/>
      <c r="L18" s="348">
        <f>Conventional!L17</f>
        <v>15</v>
      </c>
      <c r="M18" s="349"/>
      <c r="N18" s="336">
        <f>Conventional!N17</f>
        <v>15</v>
      </c>
      <c r="O18" s="337"/>
      <c r="P18" s="251"/>
      <c r="Q18" s="252"/>
      <c r="R18" s="116"/>
      <c r="S18" s="252"/>
      <c r="T18" s="116"/>
      <c r="U18" s="118"/>
      <c r="V18" s="100"/>
    </row>
    <row r="19" spans="1:42" x14ac:dyDescent="0.2">
      <c r="A19" s="105" t="s">
        <v>10</v>
      </c>
      <c r="B19" s="348">
        <f>Conventional!B18</f>
        <v>10</v>
      </c>
      <c r="C19" s="349"/>
      <c r="D19" s="336">
        <f>Conventional!D18</f>
        <v>10</v>
      </c>
      <c r="E19" s="337"/>
      <c r="F19" s="251"/>
      <c r="G19" s="252"/>
      <c r="H19" s="116"/>
      <c r="I19" s="252"/>
      <c r="J19" s="116"/>
      <c r="K19" s="117"/>
      <c r="L19" s="348">
        <f>Conventional!L18</f>
        <v>10</v>
      </c>
      <c r="M19" s="349"/>
      <c r="N19" s="336">
        <f>Conventional!N18</f>
        <v>10</v>
      </c>
      <c r="O19" s="337"/>
      <c r="P19" s="251"/>
      <c r="Q19" s="252"/>
      <c r="R19" s="116"/>
      <c r="S19" s="252"/>
      <c r="T19" s="116"/>
      <c r="U19" s="118"/>
      <c r="V19" s="100"/>
    </row>
    <row r="20" spans="1:42" x14ac:dyDescent="0.2">
      <c r="A20" s="105" t="s">
        <v>32</v>
      </c>
      <c r="B20" s="348">
        <f>10.99*$B$50</f>
        <v>20.881</v>
      </c>
      <c r="C20" s="349"/>
      <c r="D20" s="336">
        <f>(5.2+7.9)*$B$50</f>
        <v>24.89</v>
      </c>
      <c r="E20" s="349"/>
      <c r="F20" s="336">
        <f>6.3*$B$50</f>
        <v>11.969999999999999</v>
      </c>
      <c r="G20" s="337"/>
      <c r="H20" s="349">
        <f>5.5*$B$50</f>
        <v>10.45</v>
      </c>
      <c r="I20" s="337"/>
      <c r="J20" s="349">
        <f>6.3*$B$50</f>
        <v>11.969999999999999</v>
      </c>
      <c r="K20" s="390"/>
      <c r="L20" s="348">
        <f>10.72*$B$50</f>
        <v>20.367999999999999</v>
      </c>
      <c r="M20" s="349"/>
      <c r="N20" s="336">
        <f>(5.2+7.9)*$B$50</f>
        <v>24.89</v>
      </c>
      <c r="O20" s="349"/>
      <c r="P20" s="336">
        <f>6.3*$B$50</f>
        <v>11.969999999999999</v>
      </c>
      <c r="Q20" s="337"/>
      <c r="R20" s="349">
        <f>5.5*$B$50</f>
        <v>10.45</v>
      </c>
      <c r="S20" s="337"/>
      <c r="T20" s="349">
        <f>6.3*$B$50</f>
        <v>11.969999999999999</v>
      </c>
      <c r="U20" s="356"/>
      <c r="V20" s="100"/>
    </row>
    <row r="21" spans="1:42" x14ac:dyDescent="0.2">
      <c r="A21" s="105" t="s">
        <v>11</v>
      </c>
      <c r="B21" s="348">
        <v>29.25</v>
      </c>
      <c r="C21" s="349"/>
      <c r="D21" s="336">
        <f>10.99+26.89</f>
        <v>37.880000000000003</v>
      </c>
      <c r="E21" s="337"/>
      <c r="F21" s="336">
        <f>8.84+7.72</f>
        <v>16.559999999999999</v>
      </c>
      <c r="G21" s="337"/>
      <c r="H21" s="336">
        <f>6.97+7.06</f>
        <v>14.03</v>
      </c>
      <c r="I21" s="337"/>
      <c r="J21" s="336">
        <f>8.84+6.73</f>
        <v>15.57</v>
      </c>
      <c r="K21" s="356"/>
      <c r="L21" s="348">
        <v>29.25</v>
      </c>
      <c r="M21" s="337"/>
      <c r="N21" s="336">
        <f>10.99+26.89</f>
        <v>37.880000000000003</v>
      </c>
      <c r="O21" s="337"/>
      <c r="P21" s="336">
        <f>8.84+7.72</f>
        <v>16.559999999999999</v>
      </c>
      <c r="Q21" s="337"/>
      <c r="R21" s="336">
        <f>6.97+7.06</f>
        <v>14.03</v>
      </c>
      <c r="S21" s="337"/>
      <c r="T21" s="336">
        <f>8.84+6.73</f>
        <v>15.57</v>
      </c>
      <c r="U21" s="356"/>
      <c r="V21" s="100"/>
      <c r="AJ21" s="100"/>
      <c r="AK21" s="100"/>
      <c r="AL21" s="100"/>
      <c r="AM21" s="100"/>
      <c r="AN21" s="100"/>
      <c r="AO21" s="100"/>
      <c r="AP21" s="100"/>
    </row>
    <row r="22" spans="1:42" x14ac:dyDescent="0.2">
      <c r="A22" s="105" t="s">
        <v>33</v>
      </c>
      <c r="B22" s="348">
        <f>((7*7)+(5*$B$50*7))/2</f>
        <v>57.75</v>
      </c>
      <c r="C22" s="349"/>
      <c r="D22" s="336">
        <f>((7*5)+(5*$B$50*5))/2</f>
        <v>41.25</v>
      </c>
      <c r="E22" s="349"/>
      <c r="F22" s="336">
        <f>((7*7)+(5*$B$50*7))/2</f>
        <v>57.75</v>
      </c>
      <c r="G22" s="337"/>
      <c r="H22" s="349">
        <f>((7*4)+(5*$B$50*4))/2</f>
        <v>33</v>
      </c>
      <c r="I22" s="337"/>
      <c r="J22" s="349">
        <f>((7*3)+(5*$B$50*3))/2</f>
        <v>24.75</v>
      </c>
      <c r="K22" s="390"/>
      <c r="L22" s="116"/>
      <c r="M22" s="116"/>
      <c r="N22" s="251"/>
      <c r="O22" s="116"/>
      <c r="P22" s="251"/>
      <c r="Q22" s="252"/>
      <c r="R22" s="116"/>
      <c r="S22" s="252"/>
      <c r="T22" s="116"/>
      <c r="U22" s="118"/>
      <c r="V22" s="100"/>
    </row>
    <row r="23" spans="1:42" x14ac:dyDescent="0.2">
      <c r="A23" s="105" t="s">
        <v>13</v>
      </c>
      <c r="B23" s="348">
        <v>21.99</v>
      </c>
      <c r="C23" s="349"/>
      <c r="D23" s="336">
        <f>25.47</f>
        <v>25.47</v>
      </c>
      <c r="E23" s="349"/>
      <c r="F23" s="336">
        <f>11.23</f>
        <v>11.23</v>
      </c>
      <c r="G23" s="337"/>
      <c r="H23" s="349">
        <f>9.34</f>
        <v>9.34</v>
      </c>
      <c r="I23" s="337"/>
      <c r="J23" s="349">
        <f>11.23</f>
        <v>11.23</v>
      </c>
      <c r="K23" s="356"/>
      <c r="L23" s="348">
        <v>19.510000000000002</v>
      </c>
      <c r="M23" s="349"/>
      <c r="N23" s="336">
        <v>25.47</v>
      </c>
      <c r="O23" s="349"/>
      <c r="P23" s="336">
        <f>11.23</f>
        <v>11.23</v>
      </c>
      <c r="Q23" s="337"/>
      <c r="R23" s="349">
        <v>9.34</v>
      </c>
      <c r="S23" s="337"/>
      <c r="T23" s="349">
        <v>11.23</v>
      </c>
      <c r="U23" s="356"/>
      <c r="V23" s="100"/>
    </row>
    <row r="24" spans="1:42" x14ac:dyDescent="0.2">
      <c r="A24" s="105" t="s">
        <v>14</v>
      </c>
      <c r="B24" s="348">
        <f>Conventional!B23</f>
        <v>18</v>
      </c>
      <c r="C24" s="349"/>
      <c r="D24" s="336">
        <f>Conventional!D23</f>
        <v>21</v>
      </c>
      <c r="E24" s="349"/>
      <c r="F24" s="336">
        <v>14</v>
      </c>
      <c r="G24" s="337"/>
      <c r="H24" s="349">
        <f>Conventional!H23</f>
        <v>10</v>
      </c>
      <c r="I24" s="337"/>
      <c r="J24" s="349">
        <f>Conventional!J23</f>
        <v>20</v>
      </c>
      <c r="K24" s="390"/>
      <c r="L24" s="116">
        <f>Conventional!L23</f>
        <v>26</v>
      </c>
      <c r="M24" s="116"/>
      <c r="N24" s="336">
        <f>Conventional!N23</f>
        <v>29</v>
      </c>
      <c r="O24" s="349"/>
      <c r="P24" s="336">
        <v>23</v>
      </c>
      <c r="Q24" s="337"/>
      <c r="R24" s="349">
        <f>Conventional!R23</f>
        <v>16</v>
      </c>
      <c r="S24" s="337"/>
      <c r="T24" s="349">
        <f>Conventional!T23</f>
        <v>18</v>
      </c>
      <c r="U24" s="356"/>
      <c r="V24" s="100"/>
    </row>
    <row r="25" spans="1:42" x14ac:dyDescent="0.2">
      <c r="A25" s="105" t="s">
        <v>126</v>
      </c>
      <c r="B25" s="348"/>
      <c r="C25" s="337"/>
      <c r="D25" s="336"/>
      <c r="E25" s="337"/>
      <c r="F25" s="336"/>
      <c r="G25" s="337"/>
      <c r="H25" s="336"/>
      <c r="I25" s="337"/>
      <c r="J25" s="336"/>
      <c r="K25" s="390"/>
      <c r="L25" s="348"/>
      <c r="M25" s="337"/>
      <c r="N25" s="336"/>
      <c r="O25" s="337"/>
      <c r="P25" s="336"/>
      <c r="Q25" s="337"/>
      <c r="R25" s="336"/>
      <c r="S25" s="337"/>
      <c r="T25" s="336"/>
      <c r="U25" s="356"/>
      <c r="V25" s="100"/>
    </row>
    <row r="26" spans="1:42" x14ac:dyDescent="0.2">
      <c r="A26" s="105" t="s">
        <v>16</v>
      </c>
      <c r="B26" s="119"/>
      <c r="C26" s="116"/>
      <c r="D26" s="251"/>
      <c r="E26" s="116"/>
      <c r="F26" s="251"/>
      <c r="G26" s="252"/>
      <c r="H26" s="116"/>
      <c r="I26" s="252"/>
      <c r="J26" s="116"/>
      <c r="K26" s="117"/>
      <c r="L26" s="116"/>
      <c r="M26" s="116"/>
      <c r="N26" s="251"/>
      <c r="O26" s="116"/>
      <c r="P26" s="251"/>
      <c r="Q26" s="252"/>
      <c r="R26" s="116"/>
      <c r="S26" s="252"/>
      <c r="T26" s="116"/>
      <c r="U26" s="118"/>
      <c r="V26" s="100"/>
    </row>
    <row r="27" spans="1:42" x14ac:dyDescent="0.2">
      <c r="A27" s="105" t="s">
        <v>17</v>
      </c>
      <c r="B27" s="388">
        <f t="shared" ref="B27:T27" si="0">(SUM(B11:B26))*0.5*0.065</f>
        <v>15.93645240909091</v>
      </c>
      <c r="C27" s="367"/>
      <c r="D27" s="413">
        <f t="shared" si="0"/>
        <v>17.010175</v>
      </c>
      <c r="E27" s="367"/>
      <c r="F27" s="413">
        <f t="shared" si="0"/>
        <v>15.493075000000003</v>
      </c>
      <c r="G27" s="414"/>
      <c r="H27" s="367">
        <f t="shared" si="0"/>
        <v>7.8989683499999996</v>
      </c>
      <c r="I27" s="414"/>
      <c r="J27" s="367">
        <f t="shared" si="0"/>
        <v>8.2355</v>
      </c>
      <c r="K27" s="425"/>
      <c r="L27" s="388">
        <f t="shared" si="0"/>
        <v>13.233711193181817</v>
      </c>
      <c r="M27" s="367"/>
      <c r="N27" s="413">
        <f t="shared" si="0"/>
        <v>14.790750000000001</v>
      </c>
      <c r="O27" s="367"/>
      <c r="P27" s="413">
        <f t="shared" si="0"/>
        <v>8.2115104500000005</v>
      </c>
      <c r="Q27" s="414"/>
      <c r="R27" s="367">
        <f t="shared" si="0"/>
        <v>6.228621425</v>
      </c>
      <c r="S27" s="414"/>
      <c r="T27" s="367">
        <f t="shared" si="0"/>
        <v>5.6258036249999996</v>
      </c>
      <c r="U27" s="368"/>
      <c r="V27" s="100"/>
    </row>
    <row r="28" spans="1:42" x14ac:dyDescent="0.2">
      <c r="A28" s="105" t="s">
        <v>171</v>
      </c>
      <c r="B28" s="388">
        <f>(B7*0.08)+(B7/500*16.75)-(1.253*B7/2000*185)</f>
        <v>-2.8829999999999814</v>
      </c>
      <c r="C28" s="367"/>
      <c r="D28" s="253"/>
      <c r="E28" s="120"/>
      <c r="F28" s="253"/>
      <c r="G28" s="254"/>
      <c r="H28" s="120"/>
      <c r="I28" s="254"/>
      <c r="J28" s="120"/>
      <c r="K28" s="121"/>
      <c r="L28" s="388">
        <f>(L7*0.08)+(L7/500*16.75)-(1.253*L7/2000*195)</f>
        <v>-6.5006249999999852</v>
      </c>
      <c r="M28" s="367"/>
      <c r="N28" s="253"/>
      <c r="O28" s="120"/>
      <c r="P28" s="253"/>
      <c r="Q28" s="254"/>
      <c r="R28" s="120"/>
      <c r="S28" s="254"/>
      <c r="T28" s="120"/>
      <c r="U28" s="122"/>
      <c r="V28" s="100"/>
    </row>
    <row r="29" spans="1:42" x14ac:dyDescent="0.2">
      <c r="A29" s="105" t="s">
        <v>15</v>
      </c>
      <c r="B29" s="123"/>
      <c r="C29" s="120"/>
      <c r="D29" s="413">
        <f>D7/2000*0.33*20+D7/2000*0.67*30</f>
        <v>62.745000000000005</v>
      </c>
      <c r="E29" s="367"/>
      <c r="F29" s="413">
        <f>F7*1.0975*0.28</f>
        <v>61.46</v>
      </c>
      <c r="G29" s="414"/>
      <c r="H29" s="120"/>
      <c r="I29" s="254"/>
      <c r="J29" s="367">
        <f>J7*1.0975*0.28</f>
        <v>30.73</v>
      </c>
      <c r="K29" s="425"/>
      <c r="L29" s="120"/>
      <c r="M29" s="120"/>
      <c r="N29" s="413">
        <f>N7/2000*0.33*20+N7/2000*0.67*30</f>
        <v>45.39</v>
      </c>
      <c r="O29" s="367"/>
      <c r="P29" s="413">
        <f>P7*1.0975*0.28</f>
        <v>26.1205</v>
      </c>
      <c r="Q29" s="414"/>
      <c r="R29" s="120"/>
      <c r="S29" s="254"/>
      <c r="T29" s="367">
        <f>T7*1.0975*0.28</f>
        <v>19.974499999999999</v>
      </c>
      <c r="U29" s="368"/>
      <c r="V29" s="100"/>
    </row>
    <row r="30" spans="1:42" x14ac:dyDescent="0.2">
      <c r="A30" s="105" t="s">
        <v>18</v>
      </c>
      <c r="B30" s="123"/>
      <c r="C30" s="120"/>
      <c r="D30" s="422">
        <f>D7/2000*3+D7/2000*355*0.01</f>
        <v>15.3925</v>
      </c>
      <c r="E30" s="351"/>
      <c r="F30" s="253"/>
      <c r="G30" s="254"/>
      <c r="H30" s="120"/>
      <c r="I30" s="254"/>
      <c r="J30" s="120"/>
      <c r="K30" s="121"/>
      <c r="L30" s="120"/>
      <c r="M30" s="120"/>
      <c r="N30" s="422">
        <f>N7/2000*3+N7/2000*355*0.01</f>
        <v>11.135</v>
      </c>
      <c r="O30" s="351"/>
      <c r="P30" s="253"/>
      <c r="Q30" s="254"/>
      <c r="R30" s="120"/>
      <c r="S30" s="254"/>
      <c r="T30" s="120"/>
      <c r="U30" s="124"/>
      <c r="V30" s="100"/>
    </row>
    <row r="31" spans="1:42" ht="13.5" thickBot="1" x14ac:dyDescent="0.25">
      <c r="A31" s="125" t="s">
        <v>157</v>
      </c>
      <c r="B31" s="363">
        <f t="shared" ref="B31:T31" si="1">SUM(B11:B30)</f>
        <v>503.40583422727275</v>
      </c>
      <c r="C31" s="362"/>
      <c r="D31" s="417">
        <f t="shared" si="1"/>
        <v>618.53767500000004</v>
      </c>
      <c r="E31" s="362"/>
      <c r="F31" s="417">
        <f t="shared" si="1"/>
        <v>553.66307500000005</v>
      </c>
      <c r="G31" s="418"/>
      <c r="H31" s="362">
        <f t="shared" si="1"/>
        <v>250.94414834999998</v>
      </c>
      <c r="I31" s="418"/>
      <c r="J31" s="362">
        <f t="shared" si="1"/>
        <v>292.3655</v>
      </c>
      <c r="K31" s="412"/>
      <c r="L31" s="363">
        <f t="shared" si="1"/>
        <v>413.92419982954539</v>
      </c>
      <c r="M31" s="362"/>
      <c r="N31" s="417">
        <f t="shared" si="1"/>
        <v>526.41575</v>
      </c>
      <c r="O31" s="362"/>
      <c r="P31" s="417">
        <f t="shared" si="1"/>
        <v>286.99387044999997</v>
      </c>
      <c r="Q31" s="418"/>
      <c r="R31" s="362">
        <f t="shared" si="1"/>
        <v>197.878511425</v>
      </c>
      <c r="S31" s="418"/>
      <c r="T31" s="362">
        <f t="shared" si="1"/>
        <v>198.70195362499999</v>
      </c>
      <c r="U31" s="365"/>
      <c r="V31" s="100"/>
    </row>
    <row r="32" spans="1:42" x14ac:dyDescent="0.2">
      <c r="A32" s="126" t="s">
        <v>163</v>
      </c>
      <c r="B32" s="389">
        <f t="shared" ref="B32:T32" si="2">B9-B31</f>
        <v>336.59416577272725</v>
      </c>
      <c r="C32" s="371"/>
      <c r="D32" s="415">
        <f t="shared" si="2"/>
        <v>391.96232499999996</v>
      </c>
      <c r="E32" s="371"/>
      <c r="F32" s="415">
        <f t="shared" si="2"/>
        <v>276.33692500000006</v>
      </c>
      <c r="G32" s="416"/>
      <c r="H32" s="371">
        <f t="shared" si="2"/>
        <v>319.05585165000002</v>
      </c>
      <c r="I32" s="416"/>
      <c r="J32" s="371">
        <f t="shared" si="2"/>
        <v>82.634500000000003</v>
      </c>
      <c r="K32" s="430"/>
      <c r="L32" s="389">
        <f t="shared" si="2"/>
        <v>111.07580017045461</v>
      </c>
      <c r="M32" s="371"/>
      <c r="N32" s="415">
        <f t="shared" si="2"/>
        <v>204.58425</v>
      </c>
      <c r="O32" s="371"/>
      <c r="P32" s="415">
        <f t="shared" si="2"/>
        <v>65.756129550000082</v>
      </c>
      <c r="Q32" s="416"/>
      <c r="R32" s="371">
        <f t="shared" si="2"/>
        <v>87.121488575000001</v>
      </c>
      <c r="S32" s="416"/>
      <c r="T32" s="371">
        <f t="shared" si="2"/>
        <v>45.048046375000013</v>
      </c>
      <c r="U32" s="372"/>
      <c r="V32" s="100"/>
    </row>
    <row r="33" spans="1:34" x14ac:dyDescent="0.2">
      <c r="A33" s="127" t="str">
        <f>Conventional!A32</f>
        <v>BREAKEVEN PRICE  (Variable Cost)</v>
      </c>
      <c r="B33" s="128">
        <f>B31/B7</f>
        <v>0.41950486185606062</v>
      </c>
      <c r="C33" s="129" t="s">
        <v>159</v>
      </c>
      <c r="D33" s="239">
        <f>D31/D7*2000</f>
        <v>263.20752127659574</v>
      </c>
      <c r="E33" s="129" t="s">
        <v>160</v>
      </c>
      <c r="F33" s="240">
        <f>F31/F7</f>
        <v>2.7683153750000002</v>
      </c>
      <c r="G33" s="238" t="s">
        <v>162</v>
      </c>
      <c r="H33" s="130">
        <f>H31/H7</f>
        <v>4.1824024724999997</v>
      </c>
      <c r="I33" s="238" t="s">
        <v>162</v>
      </c>
      <c r="J33" s="130">
        <f>J31/J7</f>
        <v>2.9236550000000001</v>
      </c>
      <c r="K33" s="131" t="s">
        <v>162</v>
      </c>
      <c r="L33" s="130">
        <f>L31/L7</f>
        <v>0.55189893310606053</v>
      </c>
      <c r="M33" s="129" t="s">
        <v>159</v>
      </c>
      <c r="N33" s="260">
        <f>N31/N7*2000</f>
        <v>309.65632352941174</v>
      </c>
      <c r="O33" s="129" t="s">
        <v>160</v>
      </c>
      <c r="P33" s="240">
        <f>P31/P7</f>
        <v>3.3763984758823526</v>
      </c>
      <c r="Q33" s="238" t="s">
        <v>162</v>
      </c>
      <c r="R33" s="130">
        <f>R31/R7</f>
        <v>6.5959503808333331</v>
      </c>
      <c r="S33" s="238" t="s">
        <v>162</v>
      </c>
      <c r="T33" s="130">
        <f>T31/T7</f>
        <v>3.0569531326923074</v>
      </c>
      <c r="U33" s="132" t="s">
        <v>162</v>
      </c>
      <c r="V33" s="100"/>
    </row>
    <row r="34" spans="1:34" x14ac:dyDescent="0.2">
      <c r="A34" s="322" t="str">
        <f>Conventional!A33</f>
        <v>BREAKEVEN YIELD per ACRE (Variable Cost)</v>
      </c>
      <c r="B34" s="328">
        <f>B31/B8</f>
        <v>719.15119175324685</v>
      </c>
      <c r="C34" s="329" t="s">
        <v>158</v>
      </c>
      <c r="D34" s="330">
        <f>D31/D8*2000</f>
        <v>2876.9194186046516</v>
      </c>
      <c r="E34" s="329" t="s">
        <v>158</v>
      </c>
      <c r="F34" s="330">
        <f>F31/F8</f>
        <v>133.4127891566265</v>
      </c>
      <c r="G34" s="331" t="s">
        <v>161</v>
      </c>
      <c r="H34" s="330">
        <f>H31/H8</f>
        <v>26.415173510526312</v>
      </c>
      <c r="I34" s="331" t="s">
        <v>161</v>
      </c>
      <c r="J34" s="330">
        <f>J31/J8</f>
        <v>77.964133333333336</v>
      </c>
      <c r="K34" s="332" t="s">
        <v>161</v>
      </c>
      <c r="L34" s="328">
        <f>L31/L8</f>
        <v>591.32028547077914</v>
      </c>
      <c r="M34" s="329" t="s">
        <v>158</v>
      </c>
      <c r="N34" s="330">
        <f>N31/N8*2000</f>
        <v>2448.4453488372092</v>
      </c>
      <c r="O34" s="329" t="s">
        <v>158</v>
      </c>
      <c r="P34" s="330">
        <f>P31/P8</f>
        <v>69.155149506024088</v>
      </c>
      <c r="Q34" s="331" t="s">
        <v>161</v>
      </c>
      <c r="R34" s="330">
        <f>R31/R8</f>
        <v>20.829316992105262</v>
      </c>
      <c r="S34" s="331" t="s">
        <v>161</v>
      </c>
      <c r="T34" s="330">
        <f>T31/T8</f>
        <v>52.987187633333328</v>
      </c>
      <c r="U34" s="333" t="s">
        <v>161</v>
      </c>
      <c r="V34" s="100"/>
    </row>
    <row r="35" spans="1:34" x14ac:dyDescent="0.2">
      <c r="A35" s="108" t="s">
        <v>164</v>
      </c>
      <c r="B35" s="123"/>
      <c r="C35" s="120"/>
      <c r="D35" s="253"/>
      <c r="E35" s="120"/>
      <c r="F35" s="253"/>
      <c r="G35" s="254"/>
      <c r="H35" s="120"/>
      <c r="I35" s="254"/>
      <c r="J35" s="120"/>
      <c r="K35" s="121"/>
      <c r="L35" s="120"/>
      <c r="M35" s="120"/>
      <c r="N35" s="253"/>
      <c r="O35" s="120"/>
      <c r="P35" s="253"/>
      <c r="Q35" s="254"/>
      <c r="R35" s="120"/>
      <c r="S35" s="254"/>
      <c r="T35" s="120"/>
      <c r="U35" s="122"/>
      <c r="V35" s="100"/>
    </row>
    <row r="36" spans="1:34" x14ac:dyDescent="0.2">
      <c r="A36" s="105" t="s">
        <v>19</v>
      </c>
      <c r="B36" s="348">
        <v>137.25</v>
      </c>
      <c r="C36" s="349"/>
      <c r="D36" s="336">
        <f>29.77+81.62</f>
        <v>111.39</v>
      </c>
      <c r="E36" s="349"/>
      <c r="F36" s="336">
        <f>23.79+37.66</f>
        <v>61.449999999999996</v>
      </c>
      <c r="G36" s="337"/>
      <c r="H36" s="349">
        <f>19.83+34.56</f>
        <v>54.39</v>
      </c>
      <c r="I36" s="337"/>
      <c r="J36" s="349">
        <f>23.79+34.68</f>
        <v>58.47</v>
      </c>
      <c r="K36" s="356"/>
      <c r="L36" s="348">
        <v>142.25</v>
      </c>
      <c r="M36" s="349"/>
      <c r="N36" s="336">
        <f>29.77+81.62</f>
        <v>111.39</v>
      </c>
      <c r="O36" s="349"/>
      <c r="P36" s="336">
        <f>23.79+37.66</f>
        <v>61.449999999999996</v>
      </c>
      <c r="Q36" s="337"/>
      <c r="R36" s="349">
        <f>19.83+34.56</f>
        <v>54.39</v>
      </c>
      <c r="S36" s="337"/>
      <c r="T36" s="349">
        <f>23.79+34.68</f>
        <v>58.47</v>
      </c>
      <c r="U36" s="356"/>
      <c r="V36" s="100"/>
    </row>
    <row r="37" spans="1:34" x14ac:dyDescent="0.2">
      <c r="A37" s="105" t="s">
        <v>12</v>
      </c>
      <c r="B37" s="348">
        <f>Conventional!B36</f>
        <v>125</v>
      </c>
      <c r="C37" s="349"/>
      <c r="D37" s="336">
        <f>Conventional!D36</f>
        <v>125</v>
      </c>
      <c r="E37" s="349"/>
      <c r="F37" s="336">
        <f>Conventional!F36</f>
        <v>125</v>
      </c>
      <c r="G37" s="337"/>
      <c r="H37" s="349">
        <f>Conventional!H36</f>
        <v>125</v>
      </c>
      <c r="I37" s="337"/>
      <c r="J37" s="349">
        <f>Conventional!J36</f>
        <v>125</v>
      </c>
      <c r="K37" s="390"/>
      <c r="L37" s="116"/>
      <c r="M37" s="116"/>
      <c r="N37" s="251"/>
      <c r="O37" s="116"/>
      <c r="P37" s="251"/>
      <c r="Q37" s="252"/>
      <c r="R37" s="116"/>
      <c r="S37" s="252"/>
      <c r="T37" s="116"/>
      <c r="U37" s="118"/>
      <c r="V37" s="100"/>
    </row>
    <row r="38" spans="1:34" x14ac:dyDescent="0.2">
      <c r="A38" s="105" t="s">
        <v>20</v>
      </c>
      <c r="B38" s="119"/>
      <c r="C38" s="116"/>
      <c r="D38" s="251"/>
      <c r="E38" s="116"/>
      <c r="F38" s="251"/>
      <c r="G38" s="252"/>
      <c r="H38" s="116"/>
      <c r="I38" s="252"/>
      <c r="J38" s="116"/>
      <c r="K38" s="117"/>
      <c r="L38" s="116"/>
      <c r="M38" s="116"/>
      <c r="N38" s="251"/>
      <c r="O38" s="116"/>
      <c r="P38" s="251"/>
      <c r="Q38" s="252"/>
      <c r="R38" s="116"/>
      <c r="S38" s="252"/>
      <c r="T38" s="116"/>
      <c r="U38" s="118"/>
      <c r="V38" s="100"/>
    </row>
    <row r="39" spans="1:34" x14ac:dyDescent="0.2">
      <c r="A39" s="105" t="s">
        <v>21</v>
      </c>
      <c r="B39" s="350">
        <f>0.05*B31</f>
        <v>25.170291711363639</v>
      </c>
      <c r="C39" s="351"/>
      <c r="D39" s="422">
        <f>0.05*D31</f>
        <v>30.926883750000002</v>
      </c>
      <c r="E39" s="351"/>
      <c r="F39" s="422">
        <f>0.05*F31</f>
        <v>27.683153750000002</v>
      </c>
      <c r="G39" s="426"/>
      <c r="H39" s="351">
        <f>0.05*H31</f>
        <v>12.547207417499999</v>
      </c>
      <c r="I39" s="426"/>
      <c r="J39" s="351">
        <f>0.05*J31</f>
        <v>14.618275000000001</v>
      </c>
      <c r="K39" s="428"/>
      <c r="L39" s="350">
        <f>0.05*L31</f>
        <v>20.696209991477271</v>
      </c>
      <c r="M39" s="351"/>
      <c r="N39" s="422">
        <f>0.05*N31</f>
        <v>26.320787500000002</v>
      </c>
      <c r="O39" s="351"/>
      <c r="P39" s="422">
        <f>0.05*P31</f>
        <v>14.349693522499999</v>
      </c>
      <c r="Q39" s="426"/>
      <c r="R39" s="351">
        <f>0.05*R31</f>
        <v>9.8939255712500014</v>
      </c>
      <c r="S39" s="426"/>
      <c r="T39" s="351">
        <f>0.05*T31</f>
        <v>9.9350976812499994</v>
      </c>
      <c r="U39" s="360"/>
      <c r="V39" s="100"/>
    </row>
    <row r="40" spans="1:34" x14ac:dyDescent="0.2">
      <c r="A40" s="133" t="s">
        <v>165</v>
      </c>
      <c r="B40" s="352">
        <f>SUM(B36:B39)</f>
        <v>287.42029171136363</v>
      </c>
      <c r="C40" s="353"/>
      <c r="D40" s="420">
        <f>SUM(D36:D39)</f>
        <v>267.31688374999999</v>
      </c>
      <c r="E40" s="353"/>
      <c r="F40" s="420">
        <f>SUM(F36:F39)</f>
        <v>214.13315374999999</v>
      </c>
      <c r="G40" s="427"/>
      <c r="H40" s="353">
        <f>SUM(H36:H39)</f>
        <v>191.93720741749999</v>
      </c>
      <c r="I40" s="427"/>
      <c r="J40" s="353">
        <f>SUM(J36:J39)</f>
        <v>198.08827500000001</v>
      </c>
      <c r="K40" s="429"/>
      <c r="L40" s="352">
        <f>SUM(L36:L39)</f>
        <v>162.94620999147728</v>
      </c>
      <c r="M40" s="353"/>
      <c r="N40" s="420">
        <f>SUM(N36:N39)</f>
        <v>137.71078750000001</v>
      </c>
      <c r="O40" s="353"/>
      <c r="P40" s="420">
        <f>SUM(P36:P39)</f>
        <v>75.799693522499993</v>
      </c>
      <c r="Q40" s="427"/>
      <c r="R40" s="353">
        <f>SUM(R36:R39)</f>
        <v>64.283925571249995</v>
      </c>
      <c r="S40" s="427"/>
      <c r="T40" s="353">
        <f>SUM(T36:T39)</f>
        <v>68.405097681249998</v>
      </c>
      <c r="U40" s="359"/>
      <c r="V40" s="100"/>
    </row>
    <row r="41" spans="1:34" x14ac:dyDescent="0.2">
      <c r="A41" s="134"/>
      <c r="B41" s="135"/>
      <c r="C41" s="136"/>
      <c r="D41" s="255"/>
      <c r="E41" s="136"/>
      <c r="F41" s="255"/>
      <c r="G41" s="256"/>
      <c r="H41" s="136"/>
      <c r="I41" s="256"/>
      <c r="J41" s="136"/>
      <c r="K41" s="137"/>
      <c r="L41" s="136"/>
      <c r="M41" s="136"/>
      <c r="N41" s="255"/>
      <c r="O41" s="136"/>
      <c r="P41" s="255"/>
      <c r="Q41" s="256"/>
      <c r="R41" s="136"/>
      <c r="S41" s="256"/>
      <c r="T41" s="136"/>
      <c r="U41" s="138"/>
      <c r="V41" s="100"/>
    </row>
    <row r="42" spans="1:34" ht="13.5" thickBot="1" x14ac:dyDescent="0.25">
      <c r="A42" s="139" t="s">
        <v>166</v>
      </c>
      <c r="B42" s="363">
        <f>B40+B31</f>
        <v>790.82612593863632</v>
      </c>
      <c r="C42" s="362"/>
      <c r="D42" s="417">
        <f>D40+D31</f>
        <v>885.85455875000002</v>
      </c>
      <c r="E42" s="362"/>
      <c r="F42" s="417">
        <f>F40+F31</f>
        <v>767.79622875000007</v>
      </c>
      <c r="G42" s="418"/>
      <c r="H42" s="362">
        <f>H40+H31</f>
        <v>442.88135576749994</v>
      </c>
      <c r="I42" s="418"/>
      <c r="J42" s="362">
        <f>J40+J31</f>
        <v>490.45377500000001</v>
      </c>
      <c r="K42" s="412"/>
      <c r="L42" s="363">
        <f>L40+L31</f>
        <v>576.87040982102269</v>
      </c>
      <c r="M42" s="362"/>
      <c r="N42" s="417">
        <f>N40+N31</f>
        <v>664.12653750000004</v>
      </c>
      <c r="O42" s="362"/>
      <c r="P42" s="417">
        <f>P40+P31</f>
        <v>362.79356397249995</v>
      </c>
      <c r="Q42" s="418"/>
      <c r="R42" s="362">
        <f>R40+R31</f>
        <v>262.16243699624999</v>
      </c>
      <c r="S42" s="418"/>
      <c r="T42" s="362">
        <f>T40+T31</f>
        <v>267.10705130625001</v>
      </c>
      <c r="U42" s="365"/>
      <c r="V42" s="100"/>
    </row>
    <row r="43" spans="1:34" ht="13.5" thickBot="1" x14ac:dyDescent="0.25">
      <c r="A43" s="140" t="s">
        <v>167</v>
      </c>
      <c r="B43" s="354">
        <f>B9-B42</f>
        <v>49.173874061363676</v>
      </c>
      <c r="C43" s="355"/>
      <c r="D43" s="423">
        <f>D9-D42</f>
        <v>124.64544124999998</v>
      </c>
      <c r="E43" s="355"/>
      <c r="F43" s="423">
        <f>F9-F42</f>
        <v>62.203771250000045</v>
      </c>
      <c r="G43" s="424"/>
      <c r="H43" s="355">
        <f>H9-H42</f>
        <v>127.11864423250006</v>
      </c>
      <c r="I43" s="424"/>
      <c r="J43" s="355">
        <f>J9-J42</f>
        <v>-115.45377500000001</v>
      </c>
      <c r="K43" s="411"/>
      <c r="L43" s="354">
        <f>L9-L42</f>
        <v>-51.87040982102269</v>
      </c>
      <c r="M43" s="355"/>
      <c r="N43" s="423">
        <f>N9-N42</f>
        <v>66.87346249999996</v>
      </c>
      <c r="O43" s="355"/>
      <c r="P43" s="423">
        <f>P9-P42</f>
        <v>-10.043563972499896</v>
      </c>
      <c r="Q43" s="424"/>
      <c r="R43" s="355">
        <f>R9-R42</f>
        <v>22.837563003750006</v>
      </c>
      <c r="S43" s="424"/>
      <c r="T43" s="355">
        <f>T9-T42</f>
        <v>-23.357051306250014</v>
      </c>
      <c r="U43" s="366"/>
      <c r="V43" s="100"/>
    </row>
    <row r="44" spans="1:34" ht="13.5" thickTop="1" x14ac:dyDescent="0.2">
      <c r="A44" s="105"/>
      <c r="B44" s="141"/>
      <c r="C44" s="142"/>
      <c r="D44" s="257"/>
      <c r="E44" s="142"/>
      <c r="F44" s="257"/>
      <c r="G44" s="258"/>
      <c r="H44" s="142"/>
      <c r="I44" s="258"/>
      <c r="J44" s="142"/>
      <c r="K44" s="143"/>
      <c r="L44" s="142"/>
      <c r="M44" s="142"/>
      <c r="N44" s="257"/>
      <c r="O44" s="142"/>
      <c r="P44" s="257"/>
      <c r="Q44" s="258"/>
      <c r="R44" s="142"/>
      <c r="S44" s="258"/>
      <c r="T44" s="142"/>
      <c r="U44" s="144"/>
      <c r="V44" s="100"/>
    </row>
    <row r="45" spans="1:34" x14ac:dyDescent="0.2">
      <c r="A45" s="127" t="s">
        <v>34</v>
      </c>
      <c r="B45" s="145">
        <f>B42/B7</f>
        <v>0.65902177161553022</v>
      </c>
      <c r="C45" s="146" t="s">
        <v>159</v>
      </c>
      <c r="D45" s="242">
        <f>D42/D7*2000</f>
        <v>376.95938670212769</v>
      </c>
      <c r="E45" s="129" t="s">
        <v>160</v>
      </c>
      <c r="F45" s="243">
        <f>F42/F7</f>
        <v>3.8389811437500003</v>
      </c>
      <c r="G45" s="238" t="s">
        <v>162</v>
      </c>
      <c r="H45" s="147">
        <f>H42/H7</f>
        <v>7.3813559294583326</v>
      </c>
      <c r="I45" s="238" t="s">
        <v>162</v>
      </c>
      <c r="J45" s="147">
        <f>J42/J7</f>
        <v>4.9045377500000003</v>
      </c>
      <c r="K45" s="131" t="s">
        <v>162</v>
      </c>
      <c r="L45" s="147">
        <f>L42/L7</f>
        <v>0.76916054642803022</v>
      </c>
      <c r="M45" s="146" t="s">
        <v>159</v>
      </c>
      <c r="N45" s="242">
        <f>N42/N7*2000</f>
        <v>390.66266911764706</v>
      </c>
      <c r="O45" s="129" t="s">
        <v>160</v>
      </c>
      <c r="P45" s="243">
        <f>P42/P7</f>
        <v>4.2681595761470579</v>
      </c>
      <c r="Q45" s="238" t="s">
        <v>162</v>
      </c>
      <c r="R45" s="147">
        <f>R42/R7</f>
        <v>8.7387478998749994</v>
      </c>
      <c r="S45" s="238" t="s">
        <v>162</v>
      </c>
      <c r="T45" s="147">
        <f>T42/T7</f>
        <v>4.1093392508653848</v>
      </c>
      <c r="U45" s="132" t="s">
        <v>162</v>
      </c>
      <c r="V45" s="100"/>
    </row>
    <row r="46" spans="1:34" x14ac:dyDescent="0.2">
      <c r="A46" s="148" t="s">
        <v>168</v>
      </c>
      <c r="B46" s="149">
        <f>B42/B8</f>
        <v>1129.7516084837662</v>
      </c>
      <c r="C46" s="150" t="s">
        <v>158</v>
      </c>
      <c r="D46" s="245">
        <f>D42/D8*2000</f>
        <v>4120.2537616279078</v>
      </c>
      <c r="E46" s="150" t="s">
        <v>158</v>
      </c>
      <c r="F46" s="246">
        <f>F42/F8</f>
        <v>185.01113945783132</v>
      </c>
      <c r="G46" s="238" t="s">
        <v>161</v>
      </c>
      <c r="H46" s="151">
        <f>H42/H8</f>
        <v>46.619090080789469</v>
      </c>
      <c r="I46" s="238" t="s">
        <v>161</v>
      </c>
      <c r="J46" s="151">
        <f>J42/J8</f>
        <v>130.78767333333334</v>
      </c>
      <c r="K46" s="131" t="s">
        <v>161</v>
      </c>
      <c r="L46" s="151">
        <f>L42/L8</f>
        <v>824.10058545860386</v>
      </c>
      <c r="M46" s="150" t="s">
        <v>158</v>
      </c>
      <c r="N46" s="245">
        <f>N42/N8*2000</f>
        <v>3088.9606395348837</v>
      </c>
      <c r="O46" s="150" t="s">
        <v>158</v>
      </c>
      <c r="P46" s="246">
        <f>P42/P8</f>
        <v>87.420135896987929</v>
      </c>
      <c r="Q46" s="238" t="s">
        <v>161</v>
      </c>
      <c r="R46" s="151">
        <f>R42/R8</f>
        <v>27.596045999605263</v>
      </c>
      <c r="S46" s="238" t="s">
        <v>161</v>
      </c>
      <c r="T46" s="151">
        <f>T42/T8</f>
        <v>71.228547015000004</v>
      </c>
      <c r="U46" s="132" t="s">
        <v>161</v>
      </c>
      <c r="V46" s="100"/>
    </row>
    <row r="47" spans="1:34" s="154" customFormat="1" ht="12" x14ac:dyDescent="0.2">
      <c r="A47" s="421" t="s">
        <v>177</v>
      </c>
      <c r="B47" s="421"/>
      <c r="C47" s="421"/>
      <c r="D47" s="421"/>
      <c r="E47" s="421"/>
      <c r="F47" s="153"/>
      <c r="G47" s="153"/>
      <c r="H47" s="153"/>
      <c r="I47" s="152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97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 s="96" customFormat="1" ht="12" x14ac:dyDescent="0.2">
      <c r="A48" s="97" t="s">
        <v>178</v>
      </c>
      <c r="B48" s="97"/>
      <c r="C48" s="155" t="s">
        <v>169</v>
      </c>
      <c r="D48" s="236">
        <f>Conventional!D46</f>
        <v>0.42</v>
      </c>
      <c r="E48" s="156" t="s">
        <v>65</v>
      </c>
      <c r="F48" s="247">
        <f>Conventional!F46</f>
        <v>0.39</v>
      </c>
      <c r="G48" s="156" t="s">
        <v>66</v>
      </c>
      <c r="H48" s="247">
        <f>Conventional!H46</f>
        <v>0.28000000000000003</v>
      </c>
      <c r="I48" s="95"/>
      <c r="J48" s="247"/>
      <c r="K48" s="236"/>
      <c r="L48" s="95"/>
      <c r="M48" s="95"/>
      <c r="N48" s="247"/>
      <c r="O48" s="236"/>
      <c r="P48" s="97"/>
      <c r="Q48" s="97"/>
      <c r="R48" s="97"/>
      <c r="S48" s="97"/>
      <c r="T48" s="97"/>
      <c r="U48" s="97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1:34" s="96" customFormat="1" ht="12" x14ac:dyDescent="0.2">
      <c r="A49" s="419" t="str">
        <f>Conventional!A48</f>
        <v>*** Average of diesel and electric irrigation application costs.  Electric is estimated at $7/appl and diesel is estimated at $9.50/appl when diesel cost $1.90/gal.</v>
      </c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157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1:34" s="96" customFormat="1" ht="12" x14ac:dyDescent="0.2">
      <c r="A50" s="158" t="s">
        <v>152</v>
      </c>
      <c r="B50" s="159">
        <f>Conventional!B47</f>
        <v>1.9</v>
      </c>
      <c r="C50" s="419" t="s">
        <v>67</v>
      </c>
      <c r="D50" s="419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</row>
    <row r="51" spans="1:34" s="100" customFormat="1" x14ac:dyDescent="0.2">
      <c r="A51" s="95"/>
    </row>
    <row r="52" spans="1:34" s="100" customFormat="1" x14ac:dyDescent="0.2">
      <c r="A52" s="95"/>
    </row>
    <row r="53" spans="1:34" s="100" customFormat="1" x14ac:dyDescent="0.2">
      <c r="A53" s="95"/>
    </row>
    <row r="54" spans="1:34" s="100" customFormat="1" x14ac:dyDescent="0.2">
      <c r="A54" s="95"/>
    </row>
    <row r="55" spans="1:34" s="100" customFormat="1" x14ac:dyDescent="0.2">
      <c r="A55" s="95"/>
    </row>
    <row r="56" spans="1:34" s="100" customFormat="1" x14ac:dyDescent="0.2">
      <c r="A56" s="95"/>
    </row>
    <row r="57" spans="1:34" s="100" customFormat="1" x14ac:dyDescent="0.2">
      <c r="A57" s="95"/>
    </row>
    <row r="58" spans="1:34" s="100" customFormat="1" x14ac:dyDescent="0.2">
      <c r="A58" s="95"/>
    </row>
    <row r="59" spans="1:34" s="100" customFormat="1" x14ac:dyDescent="0.2">
      <c r="A59" s="95"/>
    </row>
    <row r="60" spans="1:34" s="100" customFormat="1" x14ac:dyDescent="0.2">
      <c r="A60" s="95"/>
    </row>
    <row r="61" spans="1:34" s="100" customFormat="1" x14ac:dyDescent="0.2">
      <c r="A61" s="95"/>
    </row>
    <row r="62" spans="1:34" s="100" customFormat="1" x14ac:dyDescent="0.2">
      <c r="A62" s="95"/>
    </row>
    <row r="63" spans="1:34" s="100" customFormat="1" x14ac:dyDescent="0.2">
      <c r="A63" s="95"/>
    </row>
    <row r="64" spans="1:34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</sheetData>
  <sheetProtection sheet="1" objects="1" scenarios="1"/>
  <mergeCells count="228">
    <mergeCell ref="R25:S25"/>
    <mergeCell ref="T25:U25"/>
    <mergeCell ref="J25:K25"/>
    <mergeCell ref="H25:I25"/>
    <mergeCell ref="F25:G25"/>
    <mergeCell ref="D25:E25"/>
    <mergeCell ref="B25:C25"/>
    <mergeCell ref="D19:E19"/>
    <mergeCell ref="N19:O19"/>
    <mergeCell ref="L19:M19"/>
    <mergeCell ref="L21:M21"/>
    <mergeCell ref="L23:M23"/>
    <mergeCell ref="D24:E24"/>
    <mergeCell ref="D23:E23"/>
    <mergeCell ref="D22:E22"/>
    <mergeCell ref="D21:E21"/>
    <mergeCell ref="B23:C23"/>
    <mergeCell ref="B24:C24"/>
    <mergeCell ref="H21:I21"/>
    <mergeCell ref="H22:I22"/>
    <mergeCell ref="H23:I23"/>
    <mergeCell ref="H24:I24"/>
    <mergeCell ref="B21:C21"/>
    <mergeCell ref="B22:C22"/>
    <mergeCell ref="R9:S9"/>
    <mergeCell ref="T9:U9"/>
    <mergeCell ref="T11:U11"/>
    <mergeCell ref="B11:C11"/>
    <mergeCell ref="D11:E11"/>
    <mergeCell ref="F11:G11"/>
    <mergeCell ref="H11:I11"/>
    <mergeCell ref="D18:E18"/>
    <mergeCell ref="N18:O18"/>
    <mergeCell ref="J11:K11"/>
    <mergeCell ref="R12:S12"/>
    <mergeCell ref="L14:M14"/>
    <mergeCell ref="R11:S11"/>
    <mergeCell ref="P12:Q12"/>
    <mergeCell ref="L11:M11"/>
    <mergeCell ref="N11:O11"/>
    <mergeCell ref="P11:Q11"/>
    <mergeCell ref="H12:I12"/>
    <mergeCell ref="J12:K12"/>
    <mergeCell ref="F16:G16"/>
    <mergeCell ref="H16:I16"/>
    <mergeCell ref="J16:K16"/>
    <mergeCell ref="H14:I14"/>
    <mergeCell ref="F14:G14"/>
    <mergeCell ref="B4:J4"/>
    <mergeCell ref="L4:T4"/>
    <mergeCell ref="B6:C6"/>
    <mergeCell ref="D6:E6"/>
    <mergeCell ref="F6:G6"/>
    <mergeCell ref="H6:I6"/>
    <mergeCell ref="J5:K5"/>
    <mergeCell ref="T12:U12"/>
    <mergeCell ref="L13:M13"/>
    <mergeCell ref="B12:C12"/>
    <mergeCell ref="D12:E12"/>
    <mergeCell ref="F12:G12"/>
    <mergeCell ref="N9:O9"/>
    <mergeCell ref="P9:Q9"/>
    <mergeCell ref="J6:K6"/>
    <mergeCell ref="L6:M6"/>
    <mergeCell ref="N6:O6"/>
    <mergeCell ref="P6:Q6"/>
    <mergeCell ref="R6:S6"/>
    <mergeCell ref="T5:U5"/>
    <mergeCell ref="T6:U6"/>
    <mergeCell ref="L9:M9"/>
    <mergeCell ref="L12:M12"/>
    <mergeCell ref="N12:O12"/>
    <mergeCell ref="D14:E14"/>
    <mergeCell ref="J14:K14"/>
    <mergeCell ref="B9:C9"/>
    <mergeCell ref="D9:E9"/>
    <mergeCell ref="F9:G9"/>
    <mergeCell ref="H9:I9"/>
    <mergeCell ref="J9:K9"/>
    <mergeCell ref="T20:U20"/>
    <mergeCell ref="R20:S20"/>
    <mergeCell ref="P20:Q20"/>
    <mergeCell ref="N20:O20"/>
    <mergeCell ref="L20:M20"/>
    <mergeCell ref="B13:C13"/>
    <mergeCell ref="B14:C14"/>
    <mergeCell ref="T14:U14"/>
    <mergeCell ref="R14:S14"/>
    <mergeCell ref="P14:Q14"/>
    <mergeCell ref="N14:O14"/>
    <mergeCell ref="T16:U16"/>
    <mergeCell ref="L16:M16"/>
    <mergeCell ref="N16:O16"/>
    <mergeCell ref="P16:Q16"/>
    <mergeCell ref="R16:S16"/>
    <mergeCell ref="L17:M17"/>
    <mergeCell ref="B17:C17"/>
    <mergeCell ref="B19:C19"/>
    <mergeCell ref="B18:C18"/>
    <mergeCell ref="L18:M18"/>
    <mergeCell ref="B16:C16"/>
    <mergeCell ref="D16:E16"/>
    <mergeCell ref="B20:C20"/>
    <mergeCell ref="F20:G20"/>
    <mergeCell ref="J20:K20"/>
    <mergeCell ref="D20:E20"/>
    <mergeCell ref="H20:I20"/>
    <mergeCell ref="R42:S42"/>
    <mergeCell ref="R43:S43"/>
    <mergeCell ref="T42:U42"/>
    <mergeCell ref="T43:U43"/>
    <mergeCell ref="L43:M43"/>
    <mergeCell ref="N42:O42"/>
    <mergeCell ref="N43:O43"/>
    <mergeCell ref="P42:Q42"/>
    <mergeCell ref="P43:Q43"/>
    <mergeCell ref="L42:M42"/>
    <mergeCell ref="T39:U39"/>
    <mergeCell ref="R39:S39"/>
    <mergeCell ref="R40:S40"/>
    <mergeCell ref="P39:Q39"/>
    <mergeCell ref="P40:Q40"/>
    <mergeCell ref="J39:K39"/>
    <mergeCell ref="J40:K40"/>
    <mergeCell ref="F31:G31"/>
    <mergeCell ref="B39:C39"/>
    <mergeCell ref="B40:C40"/>
    <mergeCell ref="L31:M31"/>
    <mergeCell ref="L32:M32"/>
    <mergeCell ref="J36:K36"/>
    <mergeCell ref="T40:U40"/>
    <mergeCell ref="H39:I39"/>
    <mergeCell ref="H40:I40"/>
    <mergeCell ref="F39:G39"/>
    <mergeCell ref="F40:G40"/>
    <mergeCell ref="D39:E39"/>
    <mergeCell ref="J37:K37"/>
    <mergeCell ref="J32:K32"/>
    <mergeCell ref="J31:K31"/>
    <mergeCell ref="H31:I31"/>
    <mergeCell ref="H32:I32"/>
    <mergeCell ref="P27:Q27"/>
    <mergeCell ref="P29:Q29"/>
    <mergeCell ref="P24:Q24"/>
    <mergeCell ref="P23:Q23"/>
    <mergeCell ref="P21:Q21"/>
    <mergeCell ref="P36:Q36"/>
    <mergeCell ref="R36:S36"/>
    <mergeCell ref="T36:U36"/>
    <mergeCell ref="T29:U29"/>
    <mergeCell ref="P31:Q31"/>
    <mergeCell ref="P32:Q32"/>
    <mergeCell ref="R31:S31"/>
    <mergeCell ref="R32:S32"/>
    <mergeCell ref="T31:U31"/>
    <mergeCell ref="T32:U32"/>
    <mergeCell ref="T27:U27"/>
    <mergeCell ref="T24:U24"/>
    <mergeCell ref="T23:U23"/>
    <mergeCell ref="T21:U21"/>
    <mergeCell ref="R21:S21"/>
    <mergeCell ref="R23:S23"/>
    <mergeCell ref="R24:S24"/>
    <mergeCell ref="R27:S27"/>
    <mergeCell ref="P25:Q25"/>
    <mergeCell ref="N39:O39"/>
    <mergeCell ref="N40:O40"/>
    <mergeCell ref="L39:M39"/>
    <mergeCell ref="J21:K21"/>
    <mergeCell ref="J22:K22"/>
    <mergeCell ref="J23:K23"/>
    <mergeCell ref="J24:K24"/>
    <mergeCell ref="N27:O27"/>
    <mergeCell ref="N29:O29"/>
    <mergeCell ref="N31:O31"/>
    <mergeCell ref="N32:O32"/>
    <mergeCell ref="N21:O21"/>
    <mergeCell ref="N23:O23"/>
    <mergeCell ref="N24:O24"/>
    <mergeCell ref="N30:O30"/>
    <mergeCell ref="N36:O36"/>
    <mergeCell ref="J27:K27"/>
    <mergeCell ref="J29:K29"/>
    <mergeCell ref="L40:M40"/>
    <mergeCell ref="L27:M27"/>
    <mergeCell ref="L28:M28"/>
    <mergeCell ref="L36:M36"/>
    <mergeCell ref="L25:M25"/>
    <mergeCell ref="N25:O25"/>
    <mergeCell ref="C50:D50"/>
    <mergeCell ref="D37:E37"/>
    <mergeCell ref="D36:E36"/>
    <mergeCell ref="D31:E31"/>
    <mergeCell ref="D32:E32"/>
    <mergeCell ref="B28:C28"/>
    <mergeCell ref="D40:E40"/>
    <mergeCell ref="B42:C42"/>
    <mergeCell ref="B27:C27"/>
    <mergeCell ref="A47:E47"/>
    <mergeCell ref="D29:E29"/>
    <mergeCell ref="D27:E27"/>
    <mergeCell ref="D30:E30"/>
    <mergeCell ref="B43:C43"/>
    <mergeCell ref="D42:E42"/>
    <mergeCell ref="D43:E43"/>
    <mergeCell ref="B31:C31"/>
    <mergeCell ref="B32:C32"/>
    <mergeCell ref="B36:C36"/>
    <mergeCell ref="B37:C37"/>
    <mergeCell ref="A49:T49"/>
    <mergeCell ref="F43:G43"/>
    <mergeCell ref="H42:I42"/>
    <mergeCell ref="H43:I43"/>
    <mergeCell ref="J43:K43"/>
    <mergeCell ref="H36:I36"/>
    <mergeCell ref="J42:K42"/>
    <mergeCell ref="H37:I37"/>
    <mergeCell ref="F27:G27"/>
    <mergeCell ref="F29:G29"/>
    <mergeCell ref="H27:I27"/>
    <mergeCell ref="F21:G21"/>
    <mergeCell ref="F22:G22"/>
    <mergeCell ref="F23:G23"/>
    <mergeCell ref="F24:G24"/>
    <mergeCell ref="F36:G36"/>
    <mergeCell ref="F37:G37"/>
    <mergeCell ref="F32:G32"/>
    <mergeCell ref="F42:G42"/>
  </mergeCells>
  <phoneticPr fontId="2" type="noConversion"/>
  <conditionalFormatting sqref="B43 B32 D32 D43 F43 H43 J43 L43 N43 P43 R43 T43 L32 J32 H32 F32 P32 R32 T32 N32">
    <cfRule type="cellIs" dxfId="5" priority="2" stopIfTrue="1" operator="lessThan">
      <formula>0</formula>
    </cfRule>
  </conditionalFormatting>
  <conditionalFormatting sqref="D43:E43">
    <cfRule type="cellIs" dxfId="4" priority="1" operator="lessThan">
      <formula>0</formula>
    </cfRule>
  </conditionalFormatting>
  <printOptions horizontalCentered="1" verticalCentered="1"/>
  <pageMargins left="0.5" right="0.5" top="0.5" bottom="0.5" header="0" footer="0"/>
  <pageSetup scale="77" orientation="landscape"/>
  <headerFooter>
    <oddFooter>&amp;L&amp;G</oddFooter>
  </headerFooter>
  <ignoredErrors>
    <ignoredError sqref="D9 N9 H30:H32 N45:N46 H28 D45:D46 F45:F46 H45:H46 J45:J46 L45:L46" formula="1"/>
    <ignoredError sqref="D33 N33" formula="1" unlockedFormula="1"/>
    <ignoredError sqref="D38 B38 N28 T37:T38 F19 D13 T22 F13 L22 D35 L8 J19 D28 N31:N32 D31:D32 F38 N35 T13 T19 J13 P37:P38 T8 F8 H13 H38 H19 H8 J38 J8 L37:L38 N13 N37:N38 P8 P19 P13 P22 R8 R19 R13 R22 R37:R38 R17 P17 H17 T17 J17 F17" unlockedFormula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I64"/>
  <sheetViews>
    <sheetView topLeftCell="A9" zoomScale="160" zoomScaleNormal="160" zoomScalePageLayoutView="160" workbookViewId="0">
      <selection activeCell="A24" sqref="A24"/>
    </sheetView>
  </sheetViews>
  <sheetFormatPr defaultColWidth="8.85546875" defaultRowHeight="12.75" x14ac:dyDescent="0.2"/>
  <cols>
    <col min="1" max="1" width="32.140625" style="200" bestFit="1" customWidth="1"/>
    <col min="2" max="2" width="22" style="200" bestFit="1" customWidth="1"/>
    <col min="3" max="3" width="16.7109375" style="199" customWidth="1"/>
    <col min="4" max="8" width="8.85546875" style="199"/>
    <col min="9" max="9" width="12.140625" style="199" customWidth="1"/>
    <col min="10" max="16384" width="8.85546875" style="200"/>
  </cols>
  <sheetData>
    <row r="1" spans="1:9" hidden="1" x14ac:dyDescent="0.2">
      <c r="A1" s="445" t="s">
        <v>141</v>
      </c>
      <c r="B1" s="445"/>
    </row>
    <row r="2" spans="1:9" hidden="1" x14ac:dyDescent="0.2">
      <c r="A2" s="59" t="s">
        <v>143</v>
      </c>
      <c r="B2" s="201">
        <v>420000</v>
      </c>
    </row>
    <row r="3" spans="1:9" hidden="1" x14ac:dyDescent="0.2">
      <c r="A3" s="59" t="s">
        <v>142</v>
      </c>
      <c r="B3" s="202">
        <v>0.25</v>
      </c>
    </row>
    <row r="4" spans="1:9" hidden="1" x14ac:dyDescent="0.2">
      <c r="A4" s="59" t="s">
        <v>144</v>
      </c>
      <c r="B4" s="203">
        <f>B2*B3</f>
        <v>105000</v>
      </c>
    </row>
    <row r="5" spans="1:9" hidden="1" x14ac:dyDescent="0.2">
      <c r="A5" s="59" t="s">
        <v>145</v>
      </c>
      <c r="B5" s="204">
        <v>100</v>
      </c>
    </row>
    <row r="6" spans="1:9" hidden="1" x14ac:dyDescent="0.2">
      <c r="A6" s="59" t="s">
        <v>132</v>
      </c>
      <c r="B6" s="204">
        <f>B4/B5</f>
        <v>1050</v>
      </c>
    </row>
    <row r="7" spans="1:9" hidden="1" x14ac:dyDescent="0.2">
      <c r="A7" s="59"/>
      <c r="B7" s="204"/>
    </row>
    <row r="8" spans="1:9" hidden="1" x14ac:dyDescent="0.2">
      <c r="A8" s="199"/>
      <c r="B8" s="204"/>
    </row>
    <row r="9" spans="1:9" x14ac:dyDescent="0.2">
      <c r="A9" s="448" t="s">
        <v>135</v>
      </c>
      <c r="B9" s="448"/>
    </row>
    <row r="10" spans="1:9" x14ac:dyDescent="0.2">
      <c r="A10" s="205" t="s">
        <v>139</v>
      </c>
      <c r="B10" s="206">
        <v>4700</v>
      </c>
      <c r="D10" s="447" t="s">
        <v>146</v>
      </c>
      <c r="E10" s="447"/>
      <c r="F10" s="447"/>
      <c r="G10" s="447"/>
      <c r="H10" s="447"/>
      <c r="I10" s="447"/>
    </row>
    <row r="11" spans="1:9" x14ac:dyDescent="0.2">
      <c r="A11" s="207" t="s">
        <v>132</v>
      </c>
      <c r="B11" s="207" t="s">
        <v>133</v>
      </c>
    </row>
    <row r="12" spans="1:9" x14ac:dyDescent="0.2">
      <c r="A12" s="208">
        <f>0.5*B10</f>
        <v>2350</v>
      </c>
      <c r="B12" s="209">
        <v>475</v>
      </c>
      <c r="D12" s="447" t="s">
        <v>147</v>
      </c>
      <c r="E12" s="447"/>
      <c r="F12" s="447"/>
      <c r="G12" s="447"/>
      <c r="H12" s="447"/>
      <c r="I12" s="447"/>
    </row>
    <row r="13" spans="1:9" x14ac:dyDescent="0.2">
      <c r="A13" s="210">
        <v>0</v>
      </c>
      <c r="B13" s="211"/>
      <c r="D13" s="447"/>
      <c r="E13" s="447"/>
      <c r="F13" s="447"/>
      <c r="G13" s="447"/>
      <c r="H13" s="447"/>
      <c r="I13" s="447"/>
    </row>
    <row r="14" spans="1:9" x14ac:dyDescent="0.2">
      <c r="A14" s="212">
        <v>0</v>
      </c>
      <c r="B14" s="213"/>
      <c r="D14" s="447"/>
      <c r="E14" s="447"/>
      <c r="F14" s="447"/>
      <c r="G14" s="447"/>
      <c r="H14" s="447"/>
      <c r="I14" s="447"/>
    </row>
    <row r="15" spans="1:9" ht="25.5" x14ac:dyDescent="0.2">
      <c r="A15" s="214" t="s">
        <v>131</v>
      </c>
      <c r="B15" s="215" t="s">
        <v>134</v>
      </c>
    </row>
    <row r="16" spans="1:9" x14ac:dyDescent="0.2">
      <c r="A16" s="216">
        <f>B10-(SUM('Peanut Price Calculator'!A12:A14))</f>
        <v>2350</v>
      </c>
      <c r="B16" s="217">
        <v>385</v>
      </c>
      <c r="D16" s="447" t="s">
        <v>148</v>
      </c>
      <c r="E16" s="447"/>
      <c r="F16" s="447"/>
      <c r="G16" s="447"/>
      <c r="H16" s="447"/>
      <c r="I16" s="447"/>
    </row>
    <row r="17" spans="1:9" x14ac:dyDescent="0.2">
      <c r="A17" s="218" t="s">
        <v>137</v>
      </c>
      <c r="B17" s="219">
        <f>(A12/(SUM(A12:A14,A16:A16))*B12+A13/(SUM(A12:A14,A16:A16))*B13+A14/(SUM(A12:A14,A16:A16))*B14+A16/(SUM(A12:A14,A16:A16))*B16)</f>
        <v>430</v>
      </c>
    </row>
    <row r="18" spans="1:9" x14ac:dyDescent="0.2">
      <c r="A18" s="220"/>
      <c r="B18" s="221"/>
    </row>
    <row r="19" spans="1:9" s="199" customFormat="1" x14ac:dyDescent="0.2"/>
    <row r="20" spans="1:9" s="199" customFormat="1" x14ac:dyDescent="0.2">
      <c r="A20" s="446" t="s">
        <v>138</v>
      </c>
      <c r="B20" s="446"/>
    </row>
    <row r="21" spans="1:9" s="199" customFormat="1" x14ac:dyDescent="0.2">
      <c r="A21" s="205" t="s">
        <v>140</v>
      </c>
      <c r="B21" s="222">
        <v>3400</v>
      </c>
      <c r="D21" s="447" t="s">
        <v>149</v>
      </c>
      <c r="E21" s="447"/>
      <c r="F21" s="447"/>
      <c r="G21" s="447"/>
      <c r="H21" s="447"/>
      <c r="I21" s="447"/>
    </row>
    <row r="22" spans="1:9" s="199" customFormat="1" x14ac:dyDescent="0.2">
      <c r="A22" s="207" t="s">
        <v>132</v>
      </c>
      <c r="B22" s="207" t="s">
        <v>133</v>
      </c>
    </row>
    <row r="23" spans="1:9" s="199" customFormat="1" x14ac:dyDescent="0.2">
      <c r="A23" s="223">
        <f>0.5*B21</f>
        <v>1700</v>
      </c>
      <c r="B23" s="224">
        <v>475</v>
      </c>
      <c r="D23" s="447" t="s">
        <v>150</v>
      </c>
      <c r="E23" s="447"/>
      <c r="F23" s="447"/>
      <c r="G23" s="447"/>
      <c r="H23" s="447"/>
      <c r="I23" s="447"/>
    </row>
    <row r="24" spans="1:9" s="199" customFormat="1" x14ac:dyDescent="0.2">
      <c r="A24" s="225">
        <v>0</v>
      </c>
      <c r="B24" s="226"/>
      <c r="D24" s="447"/>
      <c r="E24" s="447"/>
      <c r="F24" s="447"/>
      <c r="G24" s="447"/>
      <c r="H24" s="447"/>
      <c r="I24" s="447"/>
    </row>
    <row r="25" spans="1:9" s="199" customFormat="1" x14ac:dyDescent="0.2">
      <c r="A25" s="227">
        <v>0</v>
      </c>
      <c r="B25" s="228"/>
      <c r="D25" s="447"/>
      <c r="E25" s="447"/>
      <c r="F25" s="447"/>
      <c r="G25" s="447"/>
      <c r="H25" s="447"/>
      <c r="I25" s="447"/>
    </row>
    <row r="26" spans="1:9" s="199" customFormat="1" ht="25.5" x14ac:dyDescent="0.2">
      <c r="A26" s="214" t="s">
        <v>131</v>
      </c>
      <c r="B26" s="215" t="s">
        <v>134</v>
      </c>
    </row>
    <row r="27" spans="1:9" s="199" customFormat="1" ht="15.75" customHeight="1" x14ac:dyDescent="0.2">
      <c r="A27" s="216">
        <f>B21-(SUM('Peanut Price Calculator'!A23:A25))</f>
        <v>1700</v>
      </c>
      <c r="B27" s="229">
        <v>385</v>
      </c>
      <c r="D27" s="444" t="s">
        <v>151</v>
      </c>
      <c r="E27" s="444"/>
      <c r="F27" s="444"/>
      <c r="G27" s="444"/>
      <c r="H27" s="444"/>
      <c r="I27" s="444"/>
    </row>
    <row r="28" spans="1:9" s="199" customFormat="1" x14ac:dyDescent="0.2">
      <c r="A28" s="218" t="s">
        <v>136</v>
      </c>
      <c r="B28" s="219">
        <f>(A23/(SUM(A23:A25,A27:A27))*B23+A24/(SUM(A23:A25,A27:A27))*B24+A25/(SUM(A23:A25,A27:A27))*B25+A27/(SUM(A23:A25,A27:A27))*B27)</f>
        <v>430</v>
      </c>
      <c r="D28" s="444"/>
      <c r="E28" s="444"/>
      <c r="F28" s="444"/>
      <c r="G28" s="444"/>
      <c r="H28" s="444"/>
      <c r="I28" s="444"/>
    </row>
    <row r="29" spans="1:9" s="199" customFormat="1" x14ac:dyDescent="0.2"/>
    <row r="30" spans="1:9" s="199" customFormat="1" x14ac:dyDescent="0.2"/>
    <row r="31" spans="1:9" s="199" customFormat="1" x14ac:dyDescent="0.2"/>
    <row r="32" spans="1:9" s="199" customFormat="1" x14ac:dyDescent="0.2"/>
    <row r="33" s="199" customFormat="1" x14ac:dyDescent="0.2"/>
    <row r="34" s="199" customFormat="1" x14ac:dyDescent="0.2"/>
    <row r="35" s="199" customFormat="1" x14ac:dyDescent="0.2"/>
    <row r="36" s="199" customFormat="1" x14ac:dyDescent="0.2"/>
    <row r="37" s="199" customFormat="1" x14ac:dyDescent="0.2"/>
    <row r="38" s="199" customFormat="1" x14ac:dyDescent="0.2"/>
    <row r="39" s="199" customFormat="1" x14ac:dyDescent="0.2"/>
    <row r="40" s="199" customFormat="1" x14ac:dyDescent="0.2"/>
    <row r="41" s="199" customFormat="1" x14ac:dyDescent="0.2"/>
    <row r="42" s="199" customFormat="1" x14ac:dyDescent="0.2"/>
    <row r="43" s="199" customFormat="1" x14ac:dyDescent="0.2"/>
    <row r="44" s="199" customFormat="1" x14ac:dyDescent="0.2"/>
    <row r="45" s="199" customFormat="1" x14ac:dyDescent="0.2"/>
    <row r="46" s="199" customFormat="1" x14ac:dyDescent="0.2"/>
    <row r="47" s="199" customFormat="1" x14ac:dyDescent="0.2"/>
    <row r="48" s="199" customFormat="1" x14ac:dyDescent="0.2"/>
    <row r="49" s="199" customFormat="1" x14ac:dyDescent="0.2"/>
    <row r="50" s="199" customFormat="1" x14ac:dyDescent="0.2"/>
    <row r="51" s="199" customFormat="1" x14ac:dyDescent="0.2"/>
    <row r="52" s="199" customFormat="1" x14ac:dyDescent="0.2"/>
    <row r="53" s="199" customFormat="1" x14ac:dyDescent="0.2"/>
    <row r="54" s="199" customFormat="1" x14ac:dyDescent="0.2"/>
    <row r="55" s="199" customFormat="1" x14ac:dyDescent="0.2"/>
    <row r="56" s="199" customFormat="1" x14ac:dyDescent="0.2"/>
    <row r="57" s="199" customFormat="1" x14ac:dyDescent="0.2"/>
    <row r="58" s="199" customFormat="1" x14ac:dyDescent="0.2"/>
    <row r="59" s="199" customFormat="1" x14ac:dyDescent="0.2"/>
    <row r="60" s="199" customFormat="1" x14ac:dyDescent="0.2"/>
    <row r="61" s="199" customFormat="1" x14ac:dyDescent="0.2"/>
    <row r="62" s="199" customFormat="1" x14ac:dyDescent="0.2"/>
    <row r="63" s="199" customFormat="1" x14ac:dyDescent="0.2"/>
    <row r="64" s="199" customFormat="1" x14ac:dyDescent="0.2"/>
  </sheetData>
  <sheetProtection sheet="1" objects="1" scenarios="1"/>
  <mergeCells count="9">
    <mergeCell ref="D27:I28"/>
    <mergeCell ref="A1:B1"/>
    <mergeCell ref="A20:B20"/>
    <mergeCell ref="D23:I25"/>
    <mergeCell ref="A9:B9"/>
    <mergeCell ref="D16:I16"/>
    <mergeCell ref="D12:I14"/>
    <mergeCell ref="D10:I10"/>
    <mergeCell ref="D21:I21"/>
  </mergeCells>
  <phoneticPr fontId="2" type="noConversion"/>
  <pageMargins left="0.7" right="0.7" top="0.75" bottom="0.75" header="0.3" footer="0.3"/>
  <pageSetup scale="96" orientation="landscape" r:id="rId1"/>
  <headerFooter>
    <oddFooter>&amp;LCalculator created by A.R. Smith, UGA Extension Economist
 and N.B. Smith Clemson Agribusiness Extension Crop Economist&amp;C&amp;G&amp;RAg and Applied Economics, 4/2016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U46"/>
  <sheetViews>
    <sheetView zoomScale="150" zoomScaleNormal="150" zoomScalePageLayoutView="150" workbookViewId="0">
      <selection activeCell="D3" sqref="D3"/>
    </sheetView>
  </sheetViews>
  <sheetFormatPr defaultColWidth="8.85546875" defaultRowHeight="12.75" x14ac:dyDescent="0.2"/>
  <cols>
    <col min="1" max="1" width="7.28515625" style="101" customWidth="1"/>
    <col min="2" max="2" width="15.7109375" style="101" bestFit="1" customWidth="1"/>
    <col min="3" max="3" width="6.28515625" style="101" customWidth="1"/>
    <col min="4" max="4" width="15.85546875" style="101" bestFit="1" customWidth="1"/>
    <col min="5" max="5" width="6.28515625" style="101" customWidth="1"/>
    <col min="6" max="6" width="14" style="101" bestFit="1" customWidth="1"/>
    <col min="7" max="7" width="7" style="101" customWidth="1"/>
    <col min="8" max="8" width="15.85546875" style="101" bestFit="1" customWidth="1"/>
    <col min="9" max="9" width="8.42578125" style="101" customWidth="1"/>
    <col min="10" max="21" width="8.85546875" style="177" customWidth="1"/>
    <col min="22" max="16384" width="8.85546875" style="101"/>
  </cols>
  <sheetData>
    <row r="1" spans="1:21" ht="30" customHeight="1" x14ac:dyDescent="0.2">
      <c r="A1" s="449" t="s">
        <v>118</v>
      </c>
      <c r="B1" s="450"/>
      <c r="C1" s="450"/>
      <c r="D1" s="450"/>
      <c r="E1" s="450"/>
      <c r="F1" s="450"/>
      <c r="G1" s="450"/>
      <c r="H1" s="450"/>
      <c r="I1" s="451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ht="30" customHeight="1" thickBot="1" x14ac:dyDescent="0.25">
      <c r="A2" s="452" t="s">
        <v>117</v>
      </c>
      <c r="B2" s="453"/>
      <c r="C2" s="453"/>
      <c r="D2" s="453"/>
      <c r="E2" s="453"/>
      <c r="F2" s="453"/>
      <c r="G2" s="453"/>
      <c r="H2" s="453"/>
      <c r="I2" s="454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21" s="187" customFormat="1" ht="30" customHeight="1" thickBot="1" x14ac:dyDescent="0.25">
      <c r="A3" s="178"/>
      <c r="B3" s="179" t="s">
        <v>105</v>
      </c>
      <c r="C3" s="180"/>
      <c r="D3" s="181" t="s">
        <v>108</v>
      </c>
      <c r="E3" s="180"/>
      <c r="F3" s="182" t="s">
        <v>111</v>
      </c>
      <c r="G3" s="180"/>
      <c r="H3" s="183" t="s">
        <v>114</v>
      </c>
      <c r="I3" s="184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  <c r="U3" s="186"/>
    </row>
    <row r="4" spans="1:21" s="192" customFormat="1" ht="13.5" thickBot="1" x14ac:dyDescent="0.25">
      <c r="A4" s="188"/>
      <c r="B4" s="180"/>
      <c r="C4" s="180"/>
      <c r="D4" s="180"/>
      <c r="E4" s="180"/>
      <c r="F4" s="180"/>
      <c r="G4" s="180"/>
      <c r="H4" s="180"/>
      <c r="I4" s="189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1"/>
      <c r="U4" s="191"/>
    </row>
    <row r="5" spans="1:21" s="187" customFormat="1" ht="30" customHeight="1" thickBot="1" x14ac:dyDescent="0.25">
      <c r="A5" s="178"/>
      <c r="B5" s="179" t="s">
        <v>106</v>
      </c>
      <c r="C5" s="180"/>
      <c r="D5" s="181" t="s">
        <v>109</v>
      </c>
      <c r="E5" s="180"/>
      <c r="F5" s="182" t="s">
        <v>112</v>
      </c>
      <c r="G5" s="180"/>
      <c r="H5" s="183" t="s">
        <v>115</v>
      </c>
      <c r="I5" s="184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86"/>
    </row>
    <row r="6" spans="1:21" s="192" customFormat="1" ht="13.5" thickBot="1" x14ac:dyDescent="0.25">
      <c r="A6" s="188"/>
      <c r="B6" s="180"/>
      <c r="C6" s="180"/>
      <c r="D6" s="180"/>
      <c r="E6" s="180"/>
      <c r="F6" s="180"/>
      <c r="G6" s="180"/>
      <c r="H6" s="180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191"/>
    </row>
    <row r="7" spans="1:21" s="187" customFormat="1" ht="30" customHeight="1" thickBot="1" x14ac:dyDescent="0.25">
      <c r="A7" s="178"/>
      <c r="B7" s="179" t="s">
        <v>107</v>
      </c>
      <c r="C7" s="180"/>
      <c r="D7" s="181" t="s">
        <v>110</v>
      </c>
      <c r="E7" s="180"/>
      <c r="F7" s="182" t="s">
        <v>113</v>
      </c>
      <c r="G7" s="180"/>
      <c r="H7" s="183" t="s">
        <v>116</v>
      </c>
      <c r="I7" s="184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6"/>
      <c r="U7" s="186"/>
    </row>
    <row r="8" spans="1:21" ht="30" customHeight="1" thickBot="1" x14ac:dyDescent="0.25">
      <c r="A8" s="193"/>
      <c r="B8" s="194"/>
      <c r="C8" s="194"/>
      <c r="D8" s="194"/>
      <c r="E8" s="194"/>
      <c r="F8" s="194"/>
      <c r="G8" s="194"/>
      <c r="H8" s="194"/>
      <c r="I8" s="195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21" ht="6" customHeight="1" x14ac:dyDescent="0.2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21" ht="6.6" customHeight="1" thickBot="1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21" ht="30" customHeight="1" x14ac:dyDescent="0.2">
      <c r="A11" s="449" t="s">
        <v>119</v>
      </c>
      <c r="B11" s="450"/>
      <c r="C11" s="450"/>
      <c r="D11" s="450"/>
      <c r="E11" s="450"/>
      <c r="F11" s="450"/>
      <c r="G11" s="450"/>
      <c r="H11" s="450"/>
      <c r="I11" s="451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21" ht="30" customHeight="1" thickBot="1" x14ac:dyDescent="0.25">
      <c r="A12" s="452" t="s">
        <v>117</v>
      </c>
      <c r="B12" s="453"/>
      <c r="C12" s="453"/>
      <c r="D12" s="453"/>
      <c r="E12" s="453"/>
      <c r="F12" s="453"/>
      <c r="G12" s="453"/>
      <c r="H12" s="453"/>
      <c r="I12" s="454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21" s="198" customFormat="1" ht="30" customHeight="1" thickBot="1" x14ac:dyDescent="0.25">
      <c r="A13" s="178"/>
      <c r="B13" s="179" t="s">
        <v>105</v>
      </c>
      <c r="C13" s="180"/>
      <c r="D13" s="181" t="s">
        <v>108</v>
      </c>
      <c r="E13" s="180"/>
      <c r="F13" s="182" t="s">
        <v>111</v>
      </c>
      <c r="G13" s="180"/>
      <c r="H13" s="183" t="s">
        <v>114</v>
      </c>
      <c r="I13" s="184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  <c r="U13" s="197"/>
    </row>
    <row r="14" spans="1:21" s="198" customFormat="1" ht="13.5" thickBot="1" x14ac:dyDescent="0.25">
      <c r="A14" s="178"/>
      <c r="B14" s="180"/>
      <c r="C14" s="180"/>
      <c r="D14" s="180"/>
      <c r="E14" s="180"/>
      <c r="F14" s="180"/>
      <c r="G14" s="180"/>
      <c r="H14" s="180"/>
      <c r="I14" s="184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197"/>
    </row>
    <row r="15" spans="1:21" s="198" customFormat="1" ht="30" customHeight="1" thickBot="1" x14ac:dyDescent="0.25">
      <c r="A15" s="178"/>
      <c r="B15" s="179" t="s">
        <v>106</v>
      </c>
      <c r="C15" s="180"/>
      <c r="D15" s="181" t="s">
        <v>109</v>
      </c>
      <c r="E15" s="180"/>
      <c r="F15" s="182" t="s">
        <v>112</v>
      </c>
      <c r="G15" s="180"/>
      <c r="H15" s="183" t="s">
        <v>115</v>
      </c>
      <c r="I15" s="184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  <c r="U15" s="197"/>
    </row>
    <row r="16" spans="1:21" s="198" customFormat="1" ht="13.5" thickBot="1" x14ac:dyDescent="0.25">
      <c r="A16" s="178"/>
      <c r="B16" s="180"/>
      <c r="C16" s="180"/>
      <c r="D16" s="180"/>
      <c r="E16" s="180"/>
      <c r="F16" s="180"/>
      <c r="G16" s="180"/>
      <c r="H16" s="180"/>
      <c r="I16" s="184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7"/>
      <c r="U16" s="197"/>
    </row>
    <row r="17" spans="1:21" s="198" customFormat="1" ht="30" customHeight="1" thickBot="1" x14ac:dyDescent="0.25">
      <c r="A17" s="178"/>
      <c r="B17" s="179" t="s">
        <v>107</v>
      </c>
      <c r="C17" s="180"/>
      <c r="D17" s="181" t="s">
        <v>110</v>
      </c>
      <c r="E17" s="180"/>
      <c r="F17" s="182" t="s">
        <v>113</v>
      </c>
      <c r="G17" s="180"/>
      <c r="H17" s="183" t="s">
        <v>116</v>
      </c>
      <c r="I17" s="184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7"/>
      <c r="U17" s="197"/>
    </row>
    <row r="18" spans="1:21" ht="30" customHeight="1" thickBot="1" x14ac:dyDescent="0.25">
      <c r="A18" s="193"/>
      <c r="B18" s="194"/>
      <c r="C18" s="194"/>
      <c r="D18" s="194"/>
      <c r="E18" s="194"/>
      <c r="F18" s="194"/>
      <c r="G18" s="194"/>
      <c r="H18" s="194"/>
      <c r="I18" s="195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21" x14ac:dyDescent="0.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21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2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21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21" x14ac:dyDescent="0.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21" x14ac:dyDescent="0.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1:21" x14ac:dyDescent="0.2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21" x14ac:dyDescent="0.2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1:21" x14ac:dyDescent="0.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21" x14ac:dyDescent="0.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1:21" x14ac:dyDescent="0.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21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21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21" x14ac:dyDescent="0.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1:19" x14ac:dyDescent="0.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x14ac:dyDescent="0.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x14ac:dyDescent="0.2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 x14ac:dyDescent="0.2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19" x14ac:dyDescent="0.2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1:19" x14ac:dyDescent="0.2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1:19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1:19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1:19" x14ac:dyDescent="0.2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1:19" x14ac:dyDescent="0.2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</sheetData>
  <sheetProtection sheet="1" objects="1" scenarios="1"/>
  <mergeCells count="4">
    <mergeCell ref="A1:I1"/>
    <mergeCell ref="A11:I11"/>
    <mergeCell ref="A2:I2"/>
    <mergeCell ref="A12:I12"/>
  </mergeCells>
  <phoneticPr fontId="2" type="noConversion"/>
  <hyperlinks>
    <hyperlink ref="B7" location="CTillCharts!G97" display="Soybean &amp; Cotton Price Comparison"/>
    <hyperlink ref="B5" location="CTillCharts!G63" display="Corn &amp; Cotton Price Comparison"/>
    <hyperlink ref="B3" location="CTillCharts!G29" display="Peanut &amp; Cotton Price Comparison"/>
    <hyperlink ref="D5" location="CTillCharts!G165" display="Corn &amp; Peanut Price Comparison"/>
    <hyperlink ref="D7" location="CTillCharts!G199" display="Soybean &amp; Peanut Price Comparison"/>
    <hyperlink ref="F3" location="CTillCharts!G233" display="Cotton &amp; Corn Price Comparison"/>
    <hyperlink ref="F5" location="CTillCharts!G267" display="Peanut &amp; Corn Price Comparison"/>
    <hyperlink ref="F7" location="CTillCharts!G301" display="Soybean &amp; Corn Price Comparison"/>
    <hyperlink ref="H3" location="CTillCharts!G334" display="Cotton &amp; Soybean Price Comparison"/>
    <hyperlink ref="H5" location="CTillCharts!G369" display="Peanut &amp; Soybean Price Comparison"/>
    <hyperlink ref="H7" location="CTillCharts!G403" display="Corn &amp; Soybean Price Comparison"/>
    <hyperlink ref="D13" location="STillCharts!G131" display="Cotton &amp; Peanut Price Comparison"/>
    <hyperlink ref="B17" location="STillCharts!G97" display="Soybean &amp; Cotton Price Comparison"/>
    <hyperlink ref="B15" location="STillCharts!G63" display="Corn &amp; Cotton Price Comparison"/>
    <hyperlink ref="B13" location="STillCharts!G29" display="Peanut &amp; Cotton Price Comparison"/>
    <hyperlink ref="D15" location="STillCharts!G165" display="Corn &amp; Peanut Price Comparison"/>
    <hyperlink ref="D17" location="STillCharts!G199" display="Soybean &amp; Peanut Price Comparison"/>
    <hyperlink ref="F13" location="STillCharts!G233" display="Cotton &amp; Corn Price Comparison"/>
    <hyperlink ref="F15" location="STillCharts!G267" display="Peanut &amp; Corn Price Comparison"/>
    <hyperlink ref="F17" location="STillCharts!G301" display="Soybean &amp; Corn Price Comparison"/>
    <hyperlink ref="H13" location="STillCharts!G334" display="Cotton &amp; Soybean Price Comparison"/>
    <hyperlink ref="H15" location="STillCharts!G369" display="Peanut &amp; Soybean Price Comparison"/>
    <hyperlink ref="H17" location="STillCharts!G403" display="Corn &amp; Soybean Price Comparison"/>
    <hyperlink ref="D3" location="CTillCharts!G131" display="Cotton &amp; Peanut Price Comparison"/>
  </hyperlinks>
  <pageMargins left="0.7" right="0.7" top="0.75" bottom="0.75" header="0.3" footer="0.3"/>
  <pageSetup scale="84" orientation="landscape" r:id="rId1"/>
  <headerFooter>
    <oddFooter>&amp;L&amp;G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29:M407"/>
  <sheetViews>
    <sheetView zoomScale="120" zoomScaleNormal="120" zoomScaleSheetLayoutView="100" zoomScalePageLayoutView="120" workbookViewId="0">
      <selection activeCell="G131" sqref="G131"/>
    </sheetView>
  </sheetViews>
  <sheetFormatPr defaultColWidth="8.85546875" defaultRowHeight="12.75" x14ac:dyDescent="0.2"/>
  <cols>
    <col min="1" max="26" width="8.85546875" style="100"/>
    <col min="27" max="27" width="8.85546875" style="100" customWidth="1"/>
    <col min="28" max="16384" width="8.85546875" style="100"/>
  </cols>
  <sheetData>
    <row r="29" spans="1:11" x14ac:dyDescent="0.2">
      <c r="A29" s="456" t="s">
        <v>93</v>
      </c>
      <c r="B29" s="456"/>
      <c r="C29" s="456"/>
      <c r="D29" s="456"/>
      <c r="E29" s="456"/>
      <c r="F29" s="456"/>
    </row>
    <row r="30" spans="1:11" x14ac:dyDescent="0.2">
      <c r="A30" s="230" t="s">
        <v>86</v>
      </c>
      <c r="B30" s="455" t="s">
        <v>90</v>
      </c>
      <c r="C30" s="455"/>
      <c r="D30" s="455"/>
      <c r="E30" s="455"/>
      <c r="F30" s="455"/>
      <c r="G30" s="455"/>
      <c r="H30" s="455"/>
      <c r="I30" s="455"/>
      <c r="J30" s="455"/>
      <c r="K30" s="455"/>
    </row>
    <row r="31" spans="1:11" x14ac:dyDescent="0.2">
      <c r="A31" s="230" t="s">
        <v>87</v>
      </c>
      <c r="B31" s="455" t="str">
        <f>CONCATENATE("Irrigated peanut yield is ",Conventional!$D$7," lbs. and irrigated cotton yield is ",Conventional!$B$7," lbs.")</f>
        <v>Irrigated peanut yield is 4700 lbs. and irrigated cotton yield is 1200 lbs.</v>
      </c>
      <c r="C31" s="455"/>
      <c r="D31" s="455"/>
      <c r="E31" s="455"/>
      <c r="F31" s="455"/>
      <c r="G31" s="455"/>
      <c r="H31" s="455"/>
      <c r="I31" s="174"/>
      <c r="J31" s="174"/>
      <c r="K31" s="174"/>
    </row>
    <row r="32" spans="1:11" x14ac:dyDescent="0.2">
      <c r="A32" s="230" t="s">
        <v>88</v>
      </c>
      <c r="B32" s="455" t="str">
        <f>CONCATENATE("Non-irrigated peanut yield is ",Conventional!$N$7," lbs. and non-irrigated cotton yield is ",Conventional!$L$7," lbs.")</f>
        <v>Non-irrigated peanut yield is 3400 lbs. and non-irrigated cotton yield is 750 lbs.</v>
      </c>
      <c r="C32" s="455"/>
      <c r="D32" s="455"/>
      <c r="E32" s="455"/>
      <c r="F32" s="455"/>
      <c r="G32" s="455"/>
      <c r="H32" s="455"/>
      <c r="I32" s="455"/>
      <c r="J32" s="174"/>
      <c r="K32" s="174"/>
    </row>
    <row r="33" spans="1:13" x14ac:dyDescent="0.2">
      <c r="A33" s="230" t="s">
        <v>89</v>
      </c>
      <c r="B33" s="455" t="s">
        <v>104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</row>
    <row r="63" spans="1:11" x14ac:dyDescent="0.2">
      <c r="A63" s="455" t="s">
        <v>93</v>
      </c>
      <c r="B63" s="455"/>
      <c r="C63" s="455"/>
      <c r="D63" s="455"/>
      <c r="E63" s="455"/>
      <c r="F63" s="455"/>
    </row>
    <row r="64" spans="1:11" x14ac:dyDescent="0.2">
      <c r="A64" s="230" t="s">
        <v>86</v>
      </c>
      <c r="B64" s="455" t="s">
        <v>91</v>
      </c>
      <c r="C64" s="455"/>
      <c r="D64" s="455"/>
      <c r="E64" s="455"/>
      <c r="F64" s="455"/>
      <c r="G64" s="455"/>
      <c r="H64" s="455"/>
      <c r="I64" s="455"/>
      <c r="J64" s="455"/>
      <c r="K64" s="455"/>
    </row>
    <row r="65" spans="1:13" x14ac:dyDescent="0.2">
      <c r="A65" s="230" t="s">
        <v>87</v>
      </c>
      <c r="B65" s="455" t="str">
        <f>CONCATENATE("Irrigated corn yield is ",Conventional!$F$7," bu. and irrigated cotton yield is ",Conventional!$B$7," lbs.")</f>
        <v>Irrigated corn yield is 200 bu. and irrigated cotton yield is 1200 lbs.</v>
      </c>
      <c r="C65" s="455"/>
      <c r="D65" s="455"/>
      <c r="E65" s="455"/>
      <c r="F65" s="455"/>
      <c r="G65" s="455"/>
      <c r="H65" s="455"/>
      <c r="I65" s="174"/>
      <c r="J65" s="174"/>
      <c r="K65" s="174"/>
    </row>
    <row r="66" spans="1:13" x14ac:dyDescent="0.2">
      <c r="A66" s="230" t="s">
        <v>88</v>
      </c>
      <c r="B66" s="455" t="str">
        <f>CONCATENATE("Non-irrigated corn yield is ",Conventional!$P$7," bu. and non-irrigated cotton yield is ",Conventional!$L$7," lbs.")</f>
        <v>Non-irrigated corn yield is 85 bu. and non-irrigated cotton yield is 750 lbs.</v>
      </c>
      <c r="C66" s="455"/>
      <c r="D66" s="455"/>
      <c r="E66" s="455"/>
      <c r="F66" s="455"/>
      <c r="G66" s="455"/>
      <c r="H66" s="455"/>
      <c r="I66" s="455"/>
      <c r="J66" s="174"/>
      <c r="K66" s="174"/>
    </row>
    <row r="67" spans="1:13" x14ac:dyDescent="0.2">
      <c r="A67" s="230" t="s">
        <v>89</v>
      </c>
      <c r="B67" s="455" t="s">
        <v>104</v>
      </c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</row>
    <row r="97" spans="1:13" x14ac:dyDescent="0.2">
      <c r="A97" s="455" t="s">
        <v>93</v>
      </c>
      <c r="B97" s="455"/>
      <c r="C97" s="455"/>
      <c r="D97" s="455"/>
      <c r="E97" s="455"/>
      <c r="F97" s="455"/>
    </row>
    <row r="98" spans="1:13" x14ac:dyDescent="0.2">
      <c r="A98" s="230" t="s">
        <v>86</v>
      </c>
      <c r="B98" s="455" t="s">
        <v>92</v>
      </c>
      <c r="C98" s="455"/>
      <c r="D98" s="455"/>
      <c r="E98" s="455"/>
      <c r="F98" s="455"/>
      <c r="G98" s="455"/>
      <c r="H98" s="455"/>
      <c r="I98" s="455"/>
      <c r="J98" s="455"/>
      <c r="K98" s="455"/>
      <c r="L98" s="455"/>
    </row>
    <row r="99" spans="1:13" x14ac:dyDescent="0.2">
      <c r="A99" s="230" t="s">
        <v>87</v>
      </c>
      <c r="B99" s="455" t="str">
        <f>CONCATENATE("Irrigated soybean yield is ",Conventional!$H$7," bu. and irrigated cotton yield is ",Conventional!$B$7," lbs.")</f>
        <v>Irrigated soybean yield is 60 bu. and irrigated cotton yield is 1200 lbs.</v>
      </c>
      <c r="C99" s="455"/>
      <c r="D99" s="455"/>
      <c r="E99" s="455"/>
      <c r="F99" s="455"/>
      <c r="G99" s="455"/>
      <c r="H99" s="455"/>
      <c r="I99" s="174"/>
      <c r="J99" s="174"/>
      <c r="K99" s="174"/>
    </row>
    <row r="100" spans="1:13" x14ac:dyDescent="0.2">
      <c r="A100" s="230" t="s">
        <v>88</v>
      </c>
      <c r="B100" s="455" t="str">
        <f>CONCATENATE("Non-irrigated soybean yield is ",Conventional!$R$7," bu. and non-irrigated cotton yield is ",Conventional!$L$7," lbs.")</f>
        <v>Non-irrigated soybean yield is 30 bu. and non-irrigated cotton yield is 750 lbs.</v>
      </c>
      <c r="C100" s="455"/>
      <c r="D100" s="455"/>
      <c r="E100" s="455"/>
      <c r="F100" s="455"/>
      <c r="G100" s="455"/>
      <c r="H100" s="455"/>
      <c r="I100" s="455"/>
      <c r="J100" s="174"/>
      <c r="K100" s="174"/>
    </row>
    <row r="101" spans="1:13" x14ac:dyDescent="0.2">
      <c r="A101" s="230" t="s">
        <v>89</v>
      </c>
      <c r="B101" s="455" t="s">
        <v>104</v>
      </c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</row>
    <row r="131" spans="1:13" x14ac:dyDescent="0.2">
      <c r="A131" s="456" t="s">
        <v>93</v>
      </c>
      <c r="B131" s="456"/>
      <c r="C131" s="456"/>
      <c r="D131" s="456"/>
      <c r="E131" s="456"/>
      <c r="F131" s="456"/>
    </row>
    <row r="132" spans="1:13" x14ac:dyDescent="0.2">
      <c r="A132" s="230" t="s">
        <v>86</v>
      </c>
      <c r="B132" s="455" t="s">
        <v>94</v>
      </c>
      <c r="C132" s="455"/>
      <c r="D132" s="455"/>
      <c r="E132" s="455"/>
      <c r="F132" s="455"/>
      <c r="G132" s="455"/>
      <c r="H132" s="455"/>
      <c r="I132" s="455"/>
      <c r="J132" s="455"/>
      <c r="K132" s="455"/>
    </row>
    <row r="133" spans="1:13" x14ac:dyDescent="0.2">
      <c r="A133" s="230" t="s">
        <v>87</v>
      </c>
      <c r="B133" s="455" t="str">
        <f>CONCATENATE("Irrigated cotton yield is ",Conventional!$B$7," lbs. and irrigated peanut yield is ",Conventional!$D$7," lbs.")</f>
        <v>Irrigated cotton yield is 1200 lbs. and irrigated peanut yield is 4700 lbs.</v>
      </c>
      <c r="C133" s="455"/>
      <c r="D133" s="455"/>
      <c r="E133" s="455"/>
      <c r="F133" s="455"/>
      <c r="G133" s="455"/>
      <c r="H133" s="455"/>
      <c r="I133" s="174"/>
      <c r="J133" s="174"/>
      <c r="K133" s="174"/>
    </row>
    <row r="134" spans="1:13" x14ac:dyDescent="0.2">
      <c r="A134" s="230" t="s">
        <v>88</v>
      </c>
      <c r="B134" s="455" t="str">
        <f>CONCATENATE("Non-irrigated cotton yield is ",Conventional!$L$7," lbs. and non-irrigated peanut yield is ",Conventional!$N$7," lbs.")</f>
        <v>Non-irrigated cotton yield is 750 lbs. and non-irrigated peanut yield is 3400 lbs.</v>
      </c>
      <c r="C134" s="455"/>
      <c r="D134" s="455"/>
      <c r="E134" s="455"/>
      <c r="F134" s="455"/>
      <c r="G134" s="455"/>
      <c r="H134" s="455"/>
      <c r="I134" s="455"/>
      <c r="J134" s="174"/>
      <c r="K134" s="174"/>
    </row>
    <row r="135" spans="1:13" x14ac:dyDescent="0.2">
      <c r="A135" s="230" t="s">
        <v>89</v>
      </c>
      <c r="B135" s="455" t="s">
        <v>104</v>
      </c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</row>
    <row r="165" spans="1:13" x14ac:dyDescent="0.2">
      <c r="A165" s="455" t="s">
        <v>93</v>
      </c>
      <c r="B165" s="455"/>
      <c r="C165" s="455"/>
      <c r="D165" s="455"/>
      <c r="E165" s="455"/>
      <c r="F165" s="455"/>
    </row>
    <row r="166" spans="1:13" x14ac:dyDescent="0.2">
      <c r="A166" s="230" t="s">
        <v>86</v>
      </c>
      <c r="B166" s="455" t="s">
        <v>95</v>
      </c>
      <c r="C166" s="455"/>
      <c r="D166" s="455"/>
      <c r="E166" s="455"/>
      <c r="F166" s="455"/>
      <c r="G166" s="455"/>
      <c r="H166" s="455"/>
      <c r="I166" s="455"/>
      <c r="J166" s="455"/>
      <c r="K166" s="455"/>
    </row>
    <row r="167" spans="1:13" x14ac:dyDescent="0.2">
      <c r="A167" s="230" t="s">
        <v>87</v>
      </c>
      <c r="B167" s="455" t="str">
        <f>CONCATENATE("Irrigated corn yield is ",Conventional!$F$7," bu. and irrigated peanut yield is ",Conventional!$D$7," lbs.")</f>
        <v>Irrigated corn yield is 200 bu. and irrigated peanut yield is 4700 lbs.</v>
      </c>
      <c r="C167" s="455"/>
      <c r="D167" s="455"/>
      <c r="E167" s="455"/>
      <c r="F167" s="455"/>
      <c r="G167" s="455"/>
      <c r="H167" s="455"/>
      <c r="I167" s="174"/>
      <c r="J167" s="174"/>
      <c r="K167" s="174"/>
    </row>
    <row r="168" spans="1:13" x14ac:dyDescent="0.2">
      <c r="A168" s="230" t="s">
        <v>88</v>
      </c>
      <c r="B168" s="455" t="str">
        <f>CONCATENATE("Non-irrigated corn yield is ",Conventional!$P$7," bu. and non-irrigated peanut yield is ",Conventional!$N$7," lbs.")</f>
        <v>Non-irrigated corn yield is 85 bu. and non-irrigated peanut yield is 3400 lbs.</v>
      </c>
      <c r="C168" s="455"/>
      <c r="D168" s="455"/>
      <c r="E168" s="455"/>
      <c r="F168" s="455"/>
      <c r="G168" s="455"/>
      <c r="H168" s="455"/>
      <c r="I168" s="455"/>
      <c r="J168" s="174"/>
      <c r="K168" s="174"/>
    </row>
    <row r="169" spans="1:13" x14ac:dyDescent="0.2">
      <c r="A169" s="230" t="s">
        <v>89</v>
      </c>
      <c r="B169" s="455" t="s">
        <v>104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</row>
    <row r="199" spans="1:13" x14ac:dyDescent="0.2">
      <c r="A199" s="455" t="s">
        <v>93</v>
      </c>
      <c r="B199" s="455"/>
      <c r="C199" s="455"/>
      <c r="D199" s="455"/>
      <c r="E199" s="455"/>
      <c r="F199" s="455"/>
    </row>
    <row r="200" spans="1:13" x14ac:dyDescent="0.2">
      <c r="A200" s="230" t="s">
        <v>86</v>
      </c>
      <c r="B200" s="455" t="s">
        <v>96</v>
      </c>
      <c r="C200" s="455"/>
      <c r="D200" s="455"/>
      <c r="E200" s="455"/>
      <c r="F200" s="455"/>
      <c r="G200" s="455"/>
      <c r="H200" s="455"/>
      <c r="I200" s="455"/>
      <c r="J200" s="455"/>
      <c r="K200" s="455"/>
      <c r="L200" s="455"/>
    </row>
    <row r="201" spans="1:13" x14ac:dyDescent="0.2">
      <c r="A201" s="230" t="s">
        <v>87</v>
      </c>
      <c r="B201" s="455" t="str">
        <f>CONCATENATE("Irrigated soybean yield is ",Conventional!$H$7," bu. and irrigated peanut yield is ",Conventional!$D$7," lbs.")</f>
        <v>Irrigated soybean yield is 60 bu. and irrigated peanut yield is 4700 lbs.</v>
      </c>
      <c r="C201" s="455"/>
      <c r="D201" s="455"/>
      <c r="E201" s="455"/>
      <c r="F201" s="455"/>
      <c r="G201" s="455"/>
      <c r="H201" s="455"/>
      <c r="I201" s="174"/>
      <c r="J201" s="174"/>
      <c r="K201" s="174"/>
    </row>
    <row r="202" spans="1:13" x14ac:dyDescent="0.2">
      <c r="A202" s="230" t="s">
        <v>88</v>
      </c>
      <c r="B202" s="455" t="str">
        <f>CONCATENATE("Non-irrigated soybean yield is ",Conventional!$R$7," bu. and non-irrigated peanut yield is ",Conventional!$N$7," lbs.")</f>
        <v>Non-irrigated soybean yield is 30 bu. and non-irrigated peanut yield is 3400 lbs.</v>
      </c>
      <c r="C202" s="455"/>
      <c r="D202" s="455"/>
      <c r="E202" s="455"/>
      <c r="F202" s="455"/>
      <c r="G202" s="455"/>
      <c r="H202" s="455"/>
      <c r="I202" s="455"/>
      <c r="J202" s="174"/>
      <c r="K202" s="174"/>
    </row>
    <row r="203" spans="1:13" x14ac:dyDescent="0.2">
      <c r="A203" s="230" t="s">
        <v>89</v>
      </c>
      <c r="B203" s="455" t="s">
        <v>104</v>
      </c>
      <c r="C203" s="455"/>
      <c r="D203" s="455"/>
      <c r="E203" s="455"/>
      <c r="F203" s="455"/>
      <c r="G203" s="455"/>
      <c r="H203" s="455"/>
      <c r="I203" s="455"/>
      <c r="J203" s="455"/>
      <c r="K203" s="455"/>
      <c r="L203" s="455"/>
      <c r="M203" s="455"/>
    </row>
    <row r="233" spans="1:13" x14ac:dyDescent="0.2">
      <c r="A233" s="456" t="s">
        <v>93</v>
      </c>
      <c r="B233" s="456"/>
      <c r="C233" s="456"/>
      <c r="D233" s="456"/>
      <c r="E233" s="456"/>
      <c r="F233" s="456"/>
    </row>
    <row r="234" spans="1:13" x14ac:dyDescent="0.2">
      <c r="A234" s="230" t="s">
        <v>86</v>
      </c>
      <c r="B234" s="455" t="s">
        <v>97</v>
      </c>
      <c r="C234" s="455"/>
      <c r="D234" s="455"/>
      <c r="E234" s="455"/>
      <c r="F234" s="455"/>
      <c r="G234" s="455"/>
      <c r="H234" s="455"/>
      <c r="I234" s="455"/>
      <c r="J234" s="455"/>
      <c r="K234" s="455"/>
    </row>
    <row r="235" spans="1:13" x14ac:dyDescent="0.2">
      <c r="A235" s="230" t="s">
        <v>87</v>
      </c>
      <c r="B235" s="455" t="str">
        <f>CONCATENATE("Irrigated cotton yield is ",Conventional!$B$7," lbs. and irrigated corn yield is ",Conventional!$F$7," bu.")</f>
        <v>Irrigated cotton yield is 1200 lbs. and irrigated corn yield is 200 bu.</v>
      </c>
      <c r="C235" s="455"/>
      <c r="D235" s="455"/>
      <c r="E235" s="455"/>
      <c r="F235" s="455"/>
      <c r="G235" s="455"/>
      <c r="H235" s="455"/>
      <c r="I235" s="174"/>
      <c r="J235" s="174"/>
      <c r="K235" s="174"/>
    </row>
    <row r="236" spans="1:13" x14ac:dyDescent="0.2">
      <c r="A236" s="230" t="s">
        <v>88</v>
      </c>
      <c r="B236" s="455" t="str">
        <f>CONCATENATE("Non-irrigated cotton yield is ",Conventional!$L$7," lbs. and non-irrigated corn yield is ",Conventional!$P$7," bu.")</f>
        <v>Non-irrigated cotton yield is 750 lbs. and non-irrigated corn yield is 85 bu.</v>
      </c>
      <c r="C236" s="455"/>
      <c r="D236" s="455"/>
      <c r="E236" s="455"/>
      <c r="F236" s="455"/>
      <c r="G236" s="455"/>
      <c r="H236" s="455"/>
      <c r="I236" s="455"/>
      <c r="J236" s="174"/>
      <c r="K236" s="174"/>
    </row>
    <row r="237" spans="1:13" x14ac:dyDescent="0.2">
      <c r="A237" s="230" t="s">
        <v>89</v>
      </c>
      <c r="B237" s="455" t="s">
        <v>104</v>
      </c>
      <c r="C237" s="455"/>
      <c r="D237" s="455"/>
      <c r="E237" s="455"/>
      <c r="F237" s="455"/>
      <c r="G237" s="455"/>
      <c r="H237" s="455"/>
      <c r="I237" s="455"/>
      <c r="J237" s="455"/>
      <c r="K237" s="455"/>
      <c r="L237" s="455"/>
      <c r="M237" s="455"/>
    </row>
    <row r="267" spans="1:13" x14ac:dyDescent="0.2">
      <c r="A267" s="455" t="s">
        <v>93</v>
      </c>
      <c r="B267" s="455"/>
      <c r="C267" s="455"/>
      <c r="D267" s="455"/>
      <c r="E267" s="455"/>
      <c r="F267" s="455"/>
    </row>
    <row r="268" spans="1:13" x14ac:dyDescent="0.2">
      <c r="A268" s="230" t="s">
        <v>86</v>
      </c>
      <c r="B268" s="455" t="s">
        <v>98</v>
      </c>
      <c r="C268" s="455"/>
      <c r="D268" s="455"/>
      <c r="E268" s="455"/>
      <c r="F268" s="455"/>
      <c r="G268" s="455"/>
      <c r="H268" s="455"/>
      <c r="I268" s="455"/>
      <c r="J268" s="455"/>
      <c r="K268" s="455"/>
    </row>
    <row r="269" spans="1:13" x14ac:dyDescent="0.2">
      <c r="A269" s="230" t="s">
        <v>87</v>
      </c>
      <c r="B269" s="455" t="str">
        <f>CONCATENATE("Irrigated peanut yield is ",Conventional!$D$7," lbs. and irrigated corn yield is ",Conventional!$F$7," bu.")</f>
        <v>Irrigated peanut yield is 4700 lbs. and irrigated corn yield is 200 bu.</v>
      </c>
      <c r="C269" s="455"/>
      <c r="D269" s="455"/>
      <c r="E269" s="455"/>
      <c r="F269" s="455"/>
      <c r="G269" s="455"/>
      <c r="H269" s="455"/>
      <c r="I269" s="174"/>
      <c r="J269" s="174"/>
      <c r="K269" s="174"/>
    </row>
    <row r="270" spans="1:13" x14ac:dyDescent="0.2">
      <c r="A270" s="230" t="s">
        <v>88</v>
      </c>
      <c r="B270" s="455" t="str">
        <f>CONCATENATE("Non-irrigated peanut yield is ",Conventional!$N$7," lbs. and non-irrigated corn yield is ",Conventional!$P$7," bu.")</f>
        <v>Non-irrigated peanut yield is 3400 lbs. and non-irrigated corn yield is 85 bu.</v>
      </c>
      <c r="C270" s="455"/>
      <c r="D270" s="455"/>
      <c r="E270" s="455"/>
      <c r="F270" s="455"/>
      <c r="G270" s="455"/>
      <c r="H270" s="455"/>
      <c r="I270" s="455"/>
      <c r="J270" s="174"/>
      <c r="K270" s="174"/>
    </row>
    <row r="271" spans="1:13" x14ac:dyDescent="0.2">
      <c r="A271" s="230" t="s">
        <v>89</v>
      </c>
      <c r="B271" s="455" t="s">
        <v>104</v>
      </c>
      <c r="C271" s="455"/>
      <c r="D271" s="455"/>
      <c r="E271" s="455"/>
      <c r="F271" s="455"/>
      <c r="G271" s="455"/>
      <c r="H271" s="455"/>
      <c r="I271" s="455"/>
      <c r="J271" s="455"/>
      <c r="K271" s="455"/>
      <c r="L271" s="455"/>
      <c r="M271" s="455"/>
    </row>
    <row r="301" spans="1:12" x14ac:dyDescent="0.2">
      <c r="A301" s="455" t="s">
        <v>93</v>
      </c>
      <c r="B301" s="455"/>
      <c r="C301" s="455"/>
      <c r="D301" s="455"/>
      <c r="E301" s="455"/>
      <c r="F301" s="455"/>
    </row>
    <row r="302" spans="1:12" x14ac:dyDescent="0.2">
      <c r="A302" s="230" t="s">
        <v>86</v>
      </c>
      <c r="B302" s="455" t="s">
        <v>99</v>
      </c>
      <c r="C302" s="455"/>
      <c r="D302" s="455"/>
      <c r="E302" s="455"/>
      <c r="F302" s="455"/>
      <c r="G302" s="455"/>
      <c r="H302" s="455"/>
      <c r="I302" s="455"/>
      <c r="J302" s="455"/>
      <c r="K302" s="455"/>
      <c r="L302" s="455"/>
    </row>
    <row r="303" spans="1:12" x14ac:dyDescent="0.2">
      <c r="A303" s="230" t="s">
        <v>87</v>
      </c>
      <c r="B303" s="455" t="str">
        <f>CONCATENATE("Irrigated soybean yield is ",Conventional!$H$7," bu. and irrigated corn yield is ",Conventional!$F$7," bu.")</f>
        <v>Irrigated soybean yield is 60 bu. and irrigated corn yield is 200 bu.</v>
      </c>
      <c r="C303" s="455"/>
      <c r="D303" s="455"/>
      <c r="E303" s="455"/>
      <c r="F303" s="455"/>
      <c r="G303" s="455"/>
      <c r="H303" s="455"/>
      <c r="I303" s="174"/>
      <c r="J303" s="174"/>
      <c r="K303" s="174"/>
    </row>
    <row r="304" spans="1:12" x14ac:dyDescent="0.2">
      <c r="A304" s="230" t="s">
        <v>88</v>
      </c>
      <c r="B304" s="455" t="str">
        <f>CONCATENATE("Non-irrigated soybean yield is ",Conventional!$R$7," bu. and non-irrigated corn yield is ",Conventional!$P$7," bu.")</f>
        <v>Non-irrigated soybean yield is 30 bu. and non-irrigated corn yield is 85 bu.</v>
      </c>
      <c r="C304" s="455"/>
      <c r="D304" s="455"/>
      <c r="E304" s="455"/>
      <c r="F304" s="455"/>
      <c r="G304" s="455"/>
      <c r="H304" s="455"/>
      <c r="I304" s="455"/>
      <c r="J304" s="174"/>
      <c r="K304" s="174"/>
    </row>
    <row r="305" spans="1:13" x14ac:dyDescent="0.2">
      <c r="A305" s="230" t="s">
        <v>89</v>
      </c>
      <c r="B305" s="455" t="s">
        <v>104</v>
      </c>
      <c r="C305" s="455"/>
      <c r="D305" s="455"/>
      <c r="E305" s="455"/>
      <c r="F305" s="455"/>
      <c r="G305" s="455"/>
      <c r="H305" s="455"/>
      <c r="I305" s="455"/>
      <c r="J305" s="455"/>
      <c r="K305" s="455"/>
      <c r="L305" s="455"/>
      <c r="M305" s="455"/>
    </row>
    <row r="334" spans="1:12" x14ac:dyDescent="0.2">
      <c r="A334" s="456" t="s">
        <v>93</v>
      </c>
      <c r="B334" s="456"/>
      <c r="C334" s="456"/>
      <c r="D334" s="456"/>
      <c r="E334" s="456"/>
      <c r="F334" s="456"/>
    </row>
    <row r="335" spans="1:12" x14ac:dyDescent="0.2">
      <c r="A335" s="230" t="s">
        <v>86</v>
      </c>
      <c r="B335" s="455" t="s">
        <v>100</v>
      </c>
      <c r="C335" s="455"/>
      <c r="D335" s="455"/>
      <c r="E335" s="455"/>
      <c r="F335" s="455"/>
      <c r="G335" s="455"/>
      <c r="H335" s="455"/>
      <c r="I335" s="455"/>
      <c r="J335" s="455"/>
      <c r="K335" s="455"/>
      <c r="L335" s="455"/>
    </row>
    <row r="336" spans="1:12" x14ac:dyDescent="0.2">
      <c r="A336" s="230" t="s">
        <v>87</v>
      </c>
      <c r="B336" s="455" t="str">
        <f>CONCATENATE("Irrigated cotton yield is ",Conventional!$B$7," lbs. and irrigated soybean yield is ",Conventional!$H$7," bu.")</f>
        <v>Irrigated cotton yield is 1200 lbs. and irrigated soybean yield is 60 bu.</v>
      </c>
      <c r="C336" s="455"/>
      <c r="D336" s="455"/>
      <c r="E336" s="455"/>
      <c r="F336" s="455"/>
      <c r="G336" s="455"/>
      <c r="H336" s="455"/>
      <c r="I336" s="174"/>
      <c r="J336" s="174"/>
      <c r="K336" s="174"/>
    </row>
    <row r="337" spans="1:13" x14ac:dyDescent="0.2">
      <c r="A337" s="230" t="s">
        <v>88</v>
      </c>
      <c r="B337" s="455" t="str">
        <f>CONCATENATE("Non-irrigated cotton yield is ",Conventional!$L$7," lbs. and non-irrigated soybean yield is ",Conventional!$R$7," bu.")</f>
        <v>Non-irrigated cotton yield is 750 lbs. and non-irrigated soybean yield is 30 bu.</v>
      </c>
      <c r="C337" s="455"/>
      <c r="D337" s="455"/>
      <c r="E337" s="455"/>
      <c r="F337" s="455"/>
      <c r="G337" s="455"/>
      <c r="H337" s="455"/>
      <c r="I337" s="455"/>
      <c r="J337" s="174"/>
      <c r="K337" s="174"/>
    </row>
    <row r="338" spans="1:13" x14ac:dyDescent="0.2">
      <c r="A338" s="230" t="s">
        <v>89</v>
      </c>
      <c r="B338" s="455" t="s">
        <v>104</v>
      </c>
      <c r="C338" s="455"/>
      <c r="D338" s="455"/>
      <c r="E338" s="455"/>
      <c r="F338" s="455"/>
      <c r="G338" s="455"/>
      <c r="H338" s="455"/>
      <c r="I338" s="455"/>
      <c r="J338" s="455"/>
      <c r="K338" s="455"/>
      <c r="L338" s="455"/>
      <c r="M338" s="455"/>
    </row>
    <row r="369" spans="1:13" x14ac:dyDescent="0.2">
      <c r="A369" s="455" t="s">
        <v>93</v>
      </c>
      <c r="B369" s="455"/>
      <c r="C369" s="455"/>
      <c r="D369" s="455"/>
      <c r="E369" s="455"/>
      <c r="F369" s="455"/>
    </row>
    <row r="370" spans="1:13" x14ac:dyDescent="0.2">
      <c r="A370" s="230" t="s">
        <v>86</v>
      </c>
      <c r="B370" s="455" t="s">
        <v>101</v>
      </c>
      <c r="C370" s="455"/>
      <c r="D370" s="455"/>
      <c r="E370" s="455"/>
      <c r="F370" s="455"/>
      <c r="G370" s="455"/>
      <c r="H370" s="455"/>
      <c r="I370" s="455"/>
      <c r="J370" s="455"/>
      <c r="K370" s="455"/>
      <c r="L370" s="455"/>
    </row>
    <row r="371" spans="1:13" x14ac:dyDescent="0.2">
      <c r="A371" s="230" t="s">
        <v>87</v>
      </c>
      <c r="B371" s="455" t="str">
        <f>CONCATENATE("Irrigated peanut yield is ",Conventional!$D$7," lbs. and irrigated soybean yield is ",Conventional!$H$7," bu.")</f>
        <v>Irrigated peanut yield is 4700 lbs. and irrigated soybean yield is 60 bu.</v>
      </c>
      <c r="C371" s="455"/>
      <c r="D371" s="455"/>
      <c r="E371" s="455"/>
      <c r="F371" s="455"/>
      <c r="G371" s="455"/>
      <c r="H371" s="455"/>
      <c r="I371" s="174"/>
      <c r="J371" s="174"/>
      <c r="K371" s="174"/>
    </row>
    <row r="372" spans="1:13" x14ac:dyDescent="0.2">
      <c r="A372" s="230" t="s">
        <v>88</v>
      </c>
      <c r="B372" s="455" t="str">
        <f>CONCATENATE("Non-irrigated peanut yield is ",Conventional!$N$7," lbs. and non-irrigated soybean yield is ",Conventional!$R$7," bu.")</f>
        <v>Non-irrigated peanut yield is 3400 lbs. and non-irrigated soybean yield is 30 bu.</v>
      </c>
      <c r="C372" s="455"/>
      <c r="D372" s="455"/>
      <c r="E372" s="455"/>
      <c r="F372" s="455"/>
      <c r="G372" s="455"/>
      <c r="H372" s="455"/>
      <c r="I372" s="455"/>
      <c r="J372" s="174"/>
      <c r="K372" s="174"/>
    </row>
    <row r="373" spans="1:13" x14ac:dyDescent="0.2">
      <c r="A373" s="230" t="s">
        <v>89</v>
      </c>
      <c r="B373" s="455" t="s">
        <v>104</v>
      </c>
      <c r="C373" s="455"/>
      <c r="D373" s="455"/>
      <c r="E373" s="455"/>
      <c r="F373" s="455"/>
      <c r="G373" s="455"/>
      <c r="H373" s="455"/>
      <c r="I373" s="455"/>
      <c r="J373" s="455"/>
      <c r="K373" s="455"/>
      <c r="L373" s="455"/>
      <c r="M373" s="455"/>
    </row>
    <row r="403" spans="1:13" x14ac:dyDescent="0.2">
      <c r="A403" s="455" t="s">
        <v>93</v>
      </c>
      <c r="B403" s="455"/>
      <c r="C403" s="455"/>
      <c r="D403" s="455"/>
      <c r="E403" s="455"/>
      <c r="F403" s="455"/>
    </row>
    <row r="404" spans="1:13" x14ac:dyDescent="0.2">
      <c r="A404" s="230" t="s">
        <v>86</v>
      </c>
      <c r="B404" s="455" t="s">
        <v>102</v>
      </c>
      <c r="C404" s="455"/>
      <c r="D404" s="455"/>
      <c r="E404" s="455"/>
      <c r="F404" s="455"/>
      <c r="G404" s="455"/>
      <c r="H404" s="455"/>
      <c r="I404" s="455"/>
      <c r="J404" s="455"/>
      <c r="K404" s="455"/>
      <c r="L404" s="455"/>
    </row>
    <row r="405" spans="1:13" x14ac:dyDescent="0.2">
      <c r="A405" s="230" t="s">
        <v>87</v>
      </c>
      <c r="B405" s="455" t="str">
        <f>CONCATENATE("Irrigated corn yield is ",Conventional!$F$7," bu. and irrigated soybean yield is ",Conventional!$H$7," bu.")</f>
        <v>Irrigated corn yield is 200 bu. and irrigated soybean yield is 60 bu.</v>
      </c>
      <c r="C405" s="455"/>
      <c r="D405" s="455"/>
      <c r="E405" s="455"/>
      <c r="F405" s="455"/>
      <c r="G405" s="455"/>
      <c r="H405" s="455"/>
      <c r="I405" s="174"/>
      <c r="J405" s="174"/>
      <c r="K405" s="174"/>
    </row>
    <row r="406" spans="1:13" x14ac:dyDescent="0.2">
      <c r="A406" s="230" t="s">
        <v>88</v>
      </c>
      <c r="B406" s="455" t="str">
        <f>CONCATENATE("Non-irrigated corn yield is ",Conventional!$P$7," bu. and non-irrigated soybean yield is ",Conventional!$R$7," bu.")</f>
        <v>Non-irrigated corn yield is 85 bu. and non-irrigated soybean yield is 30 bu.</v>
      </c>
      <c r="C406" s="455"/>
      <c r="D406" s="455"/>
      <c r="E406" s="455"/>
      <c r="F406" s="455"/>
      <c r="G406" s="455"/>
      <c r="H406" s="455"/>
      <c r="I406" s="455"/>
      <c r="J406" s="174"/>
      <c r="K406" s="174"/>
    </row>
    <row r="407" spans="1:13" x14ac:dyDescent="0.2">
      <c r="A407" s="230" t="s">
        <v>89</v>
      </c>
      <c r="B407" s="455" t="s">
        <v>104</v>
      </c>
      <c r="C407" s="455"/>
      <c r="D407" s="455"/>
      <c r="E407" s="455"/>
      <c r="F407" s="455"/>
      <c r="G407" s="455"/>
      <c r="H407" s="455"/>
      <c r="I407" s="455"/>
      <c r="J407" s="455"/>
      <c r="K407" s="455"/>
      <c r="L407" s="455"/>
      <c r="M407" s="455"/>
    </row>
  </sheetData>
  <sheetProtection sheet="1" objects="1" scenarios="1"/>
  <mergeCells count="60">
    <mergeCell ref="B101:M101"/>
    <mergeCell ref="B64:K64"/>
    <mergeCell ref="B65:H65"/>
    <mergeCell ref="B66:I66"/>
    <mergeCell ref="B67:M67"/>
    <mergeCell ref="B99:H99"/>
    <mergeCell ref="B100:I100"/>
    <mergeCell ref="A29:F29"/>
    <mergeCell ref="A63:F63"/>
    <mergeCell ref="A97:F97"/>
    <mergeCell ref="B98:L98"/>
    <mergeCell ref="B30:K30"/>
    <mergeCell ref="B31:H31"/>
    <mergeCell ref="B32:I32"/>
    <mergeCell ref="B33:M33"/>
    <mergeCell ref="B166:K166"/>
    <mergeCell ref="B167:H167"/>
    <mergeCell ref="B168:I168"/>
    <mergeCell ref="B169:M169"/>
    <mergeCell ref="A131:F131"/>
    <mergeCell ref="B132:K132"/>
    <mergeCell ref="B133:H133"/>
    <mergeCell ref="B134:I134"/>
    <mergeCell ref="A165:F165"/>
    <mergeCell ref="B135:M135"/>
    <mergeCell ref="A233:F233"/>
    <mergeCell ref="B234:K234"/>
    <mergeCell ref="B235:H235"/>
    <mergeCell ref="B236:I236"/>
    <mergeCell ref="A267:F267"/>
    <mergeCell ref="B407:M407"/>
    <mergeCell ref="B373:M373"/>
    <mergeCell ref="B338:M338"/>
    <mergeCell ref="A199:F199"/>
    <mergeCell ref="B200:L200"/>
    <mergeCell ref="B201:H201"/>
    <mergeCell ref="B202:I202"/>
    <mergeCell ref="B303:H303"/>
    <mergeCell ref="B237:M237"/>
    <mergeCell ref="B203:M203"/>
    <mergeCell ref="B405:H405"/>
    <mergeCell ref="B337:I337"/>
    <mergeCell ref="A369:F369"/>
    <mergeCell ref="B268:K268"/>
    <mergeCell ref="B269:H269"/>
    <mergeCell ref="B270:I270"/>
    <mergeCell ref="B305:M305"/>
    <mergeCell ref="B271:M271"/>
    <mergeCell ref="B406:I406"/>
    <mergeCell ref="A334:F334"/>
    <mergeCell ref="B336:H336"/>
    <mergeCell ref="A301:F301"/>
    <mergeCell ref="B302:L302"/>
    <mergeCell ref="B371:H371"/>
    <mergeCell ref="B335:L335"/>
    <mergeCell ref="B370:L370"/>
    <mergeCell ref="A403:F403"/>
    <mergeCell ref="B404:L404"/>
    <mergeCell ref="B372:I372"/>
    <mergeCell ref="B304:I304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&amp;LConventional Tillage Chart</oddHeader>
    <oddFooter>&amp;L&amp;G&amp;CCharts by A.R. Smith, W.D. Shurley, and N.B. Smith&amp;RAg and Applied Economics, 4/2016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29:M407"/>
  <sheetViews>
    <sheetView topLeftCell="A102" zoomScale="110" zoomScaleNormal="110" zoomScaleSheetLayoutView="100" zoomScalePageLayoutView="110" workbookViewId="0"/>
  </sheetViews>
  <sheetFormatPr defaultColWidth="8.85546875" defaultRowHeight="12.75" x14ac:dyDescent="0.2"/>
  <cols>
    <col min="1" max="1" width="8.85546875" style="100"/>
    <col min="2" max="2" width="8.85546875" style="174"/>
    <col min="3" max="26" width="8.85546875" style="100"/>
    <col min="27" max="27" width="8.85546875" style="100" customWidth="1"/>
    <col min="28" max="16384" width="8.85546875" style="100"/>
  </cols>
  <sheetData>
    <row r="29" spans="1:11" x14ac:dyDescent="0.2">
      <c r="A29" s="456" t="s">
        <v>93</v>
      </c>
      <c r="B29" s="456"/>
      <c r="C29" s="456"/>
      <c r="D29" s="456"/>
      <c r="E29" s="456"/>
      <c r="F29" s="456"/>
    </row>
    <row r="30" spans="1:11" x14ac:dyDescent="0.2">
      <c r="A30" s="230" t="s">
        <v>86</v>
      </c>
      <c r="B30" s="455" t="s">
        <v>90</v>
      </c>
      <c r="C30" s="455"/>
      <c r="D30" s="455"/>
      <c r="E30" s="455"/>
      <c r="F30" s="455"/>
      <c r="G30" s="455"/>
      <c r="H30" s="455"/>
      <c r="I30" s="455"/>
      <c r="J30" s="455"/>
      <c r="K30" s="455"/>
    </row>
    <row r="31" spans="1:11" x14ac:dyDescent="0.2">
      <c r="A31" s="230" t="s">
        <v>87</v>
      </c>
      <c r="B31" s="455" t="str">
        <f>CONCATENATE("Irrigated peanut yield is ",'Strip-Till'!$D$7," lbs. and irrigated cotton yield is ",'Strip-Till'!B7," lbs.")</f>
        <v>Irrigated peanut yield is 4700 lbs. and irrigated cotton yield is 1200 lbs.</v>
      </c>
      <c r="C31" s="455"/>
      <c r="D31" s="455"/>
      <c r="E31" s="455"/>
      <c r="F31" s="455"/>
      <c r="G31" s="455"/>
      <c r="H31" s="455"/>
      <c r="I31" s="174"/>
      <c r="J31" s="174"/>
      <c r="K31" s="174"/>
    </row>
    <row r="32" spans="1:11" x14ac:dyDescent="0.2">
      <c r="A32" s="230" t="s">
        <v>88</v>
      </c>
      <c r="B32" s="455" t="str">
        <f>CONCATENATE("Non-irrigated peanut yield is ",'Strip-Till'!N7," lbs. and non-irrigated cotton yield is ",'Strip-Till'!L7," lbs.")</f>
        <v>Non-irrigated peanut yield is 3400 lbs. and non-irrigated cotton yield is 750 lbs.</v>
      </c>
      <c r="C32" s="455"/>
      <c r="D32" s="455"/>
      <c r="E32" s="455"/>
      <c r="F32" s="455"/>
      <c r="G32" s="455"/>
      <c r="H32" s="455"/>
      <c r="I32" s="455"/>
      <c r="J32" s="174"/>
      <c r="K32" s="174"/>
    </row>
    <row r="33" spans="1:13" x14ac:dyDescent="0.2">
      <c r="A33" s="230" t="s">
        <v>89</v>
      </c>
      <c r="B33" s="455" t="s">
        <v>103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</row>
    <row r="63" spans="1:11" x14ac:dyDescent="0.2">
      <c r="A63" s="455" t="s">
        <v>93</v>
      </c>
      <c r="B63" s="455"/>
      <c r="C63" s="455"/>
      <c r="D63" s="455"/>
      <c r="E63" s="455"/>
      <c r="F63" s="455"/>
    </row>
    <row r="64" spans="1:11" x14ac:dyDescent="0.2">
      <c r="A64" s="230" t="s">
        <v>86</v>
      </c>
      <c r="B64" s="455" t="s">
        <v>91</v>
      </c>
      <c r="C64" s="455"/>
      <c r="D64" s="455"/>
      <c r="E64" s="455"/>
      <c r="F64" s="455"/>
      <c r="G64" s="455"/>
      <c r="H64" s="455"/>
      <c r="I64" s="455"/>
      <c r="J64" s="455"/>
      <c r="K64" s="455"/>
    </row>
    <row r="65" spans="1:13" x14ac:dyDescent="0.2">
      <c r="A65" s="230" t="s">
        <v>87</v>
      </c>
      <c r="B65" s="455" t="str">
        <f>CONCATENATE("Irrigated corn yield is ",'Strip-Till'!F7," bu. and irrigated cotton yield is ",'Strip-Till'!B7," lbs.")</f>
        <v>Irrigated corn yield is 200 bu. and irrigated cotton yield is 1200 lbs.</v>
      </c>
      <c r="C65" s="455"/>
      <c r="D65" s="455"/>
      <c r="E65" s="455"/>
      <c r="F65" s="455"/>
      <c r="G65" s="455"/>
      <c r="H65" s="455"/>
      <c r="I65" s="174"/>
      <c r="J65" s="174"/>
      <c r="K65" s="174"/>
    </row>
    <row r="66" spans="1:13" x14ac:dyDescent="0.2">
      <c r="A66" s="230" t="s">
        <v>88</v>
      </c>
      <c r="B66" s="455" t="str">
        <f>CONCATENATE("Non-irrigated corn yield is ",'Strip-Till'!P7," bu. and non-irrigated cotton yield is ",'Strip-Till'!L7," lbs.")</f>
        <v>Non-irrigated corn yield is 85 bu. and non-irrigated cotton yield is 750 lbs.</v>
      </c>
      <c r="C66" s="455"/>
      <c r="D66" s="455"/>
      <c r="E66" s="455"/>
      <c r="F66" s="455"/>
      <c r="G66" s="455"/>
      <c r="H66" s="455"/>
      <c r="I66" s="455"/>
      <c r="J66" s="174"/>
      <c r="K66" s="174"/>
    </row>
    <row r="67" spans="1:13" x14ac:dyDescent="0.2">
      <c r="A67" s="230" t="s">
        <v>89</v>
      </c>
      <c r="B67" s="455" t="s">
        <v>103</v>
      </c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</row>
    <row r="97" spans="1:13" x14ac:dyDescent="0.2">
      <c r="A97" s="455" t="s">
        <v>93</v>
      </c>
      <c r="B97" s="455"/>
      <c r="C97" s="455"/>
      <c r="D97" s="455"/>
      <c r="E97" s="455"/>
      <c r="F97" s="455"/>
    </row>
    <row r="98" spans="1:13" x14ac:dyDescent="0.2">
      <c r="A98" s="230" t="s">
        <v>86</v>
      </c>
      <c r="B98" s="455" t="s">
        <v>92</v>
      </c>
      <c r="C98" s="455"/>
      <c r="D98" s="455"/>
      <c r="E98" s="455"/>
      <c r="F98" s="455"/>
      <c r="G98" s="455"/>
      <c r="H98" s="455"/>
      <c r="I98" s="455"/>
      <c r="J98" s="455"/>
      <c r="K98" s="455"/>
      <c r="L98" s="455"/>
    </row>
    <row r="99" spans="1:13" x14ac:dyDescent="0.2">
      <c r="A99" s="230" t="s">
        <v>87</v>
      </c>
      <c r="B99" s="455" t="str">
        <f>CONCATENATE("Irrigated soybean yield is ",'Strip-Till'!H7," bu. and irrigated cotton yield is ",'Strip-Till'!B7," lbs.")</f>
        <v>Irrigated soybean yield is 60 bu. and irrigated cotton yield is 1200 lbs.</v>
      </c>
      <c r="C99" s="455"/>
      <c r="D99" s="455"/>
      <c r="E99" s="455"/>
      <c r="F99" s="455"/>
      <c r="G99" s="455"/>
      <c r="H99" s="455"/>
      <c r="I99" s="174"/>
      <c r="J99" s="174"/>
      <c r="K99" s="174"/>
    </row>
    <row r="100" spans="1:13" x14ac:dyDescent="0.2">
      <c r="A100" s="230" t="s">
        <v>88</v>
      </c>
      <c r="B100" s="455" t="str">
        <f>CONCATENATE("Non-irrigated soybean yield is ",'Strip-Till'!R7," bu. and non-irrigated cotton yield is ",'Strip-Till'!L7," lbs.")</f>
        <v>Non-irrigated soybean yield is 30 bu. and non-irrigated cotton yield is 750 lbs.</v>
      </c>
      <c r="C100" s="455"/>
      <c r="D100" s="455"/>
      <c r="E100" s="455"/>
      <c r="F100" s="455"/>
      <c r="G100" s="455"/>
      <c r="H100" s="455"/>
      <c r="I100" s="455"/>
      <c r="J100" s="174"/>
      <c r="K100" s="174"/>
    </row>
    <row r="101" spans="1:13" x14ac:dyDescent="0.2">
      <c r="A101" s="230" t="s">
        <v>89</v>
      </c>
      <c r="B101" s="455" t="s">
        <v>103</v>
      </c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</row>
    <row r="131" spans="1:13" x14ac:dyDescent="0.2">
      <c r="A131" s="456" t="s">
        <v>93</v>
      </c>
      <c r="B131" s="456"/>
      <c r="C131" s="456"/>
      <c r="D131" s="456"/>
      <c r="E131" s="456"/>
      <c r="F131" s="456"/>
    </row>
    <row r="132" spans="1:13" x14ac:dyDescent="0.2">
      <c r="A132" s="230" t="s">
        <v>86</v>
      </c>
      <c r="B132" s="455" t="s">
        <v>94</v>
      </c>
      <c r="C132" s="455"/>
      <c r="D132" s="455"/>
      <c r="E132" s="455"/>
      <c r="F132" s="455"/>
      <c r="G132" s="455"/>
      <c r="H132" s="455"/>
      <c r="I132" s="455"/>
      <c r="J132" s="455"/>
      <c r="K132" s="455"/>
    </row>
    <row r="133" spans="1:13" x14ac:dyDescent="0.2">
      <c r="A133" s="230" t="s">
        <v>87</v>
      </c>
      <c r="B133" s="455" t="str">
        <f>CONCATENATE("Irrigated cotton yield is ",'Strip-Till'!B7," lbs. and irrigated peanut yield is ",'Strip-Till'!D7," lbs.")</f>
        <v>Irrigated cotton yield is 1200 lbs. and irrigated peanut yield is 4700 lbs.</v>
      </c>
      <c r="C133" s="455"/>
      <c r="D133" s="455"/>
      <c r="E133" s="455"/>
      <c r="F133" s="455"/>
      <c r="G133" s="455"/>
      <c r="H133" s="455"/>
      <c r="I133" s="174"/>
      <c r="J133" s="174"/>
      <c r="K133" s="174"/>
    </row>
    <row r="134" spans="1:13" x14ac:dyDescent="0.2">
      <c r="A134" s="230" t="s">
        <v>88</v>
      </c>
      <c r="B134" s="455" t="str">
        <f>CONCATENATE("Non-irrigated cotton yield is ",'Strip-Till'!L7," lbs. and non-irrigated peanut yield is ",'Strip-Till'!N7," lbs.")</f>
        <v>Non-irrigated cotton yield is 750 lbs. and non-irrigated peanut yield is 3400 lbs.</v>
      </c>
      <c r="C134" s="455"/>
      <c r="D134" s="455"/>
      <c r="E134" s="455"/>
      <c r="F134" s="455"/>
      <c r="G134" s="455"/>
      <c r="H134" s="455"/>
      <c r="I134" s="455"/>
      <c r="J134" s="174"/>
      <c r="K134" s="174"/>
    </row>
    <row r="135" spans="1:13" x14ac:dyDescent="0.2">
      <c r="A135" s="230" t="s">
        <v>89</v>
      </c>
      <c r="B135" s="455" t="s">
        <v>103</v>
      </c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</row>
    <row r="165" spans="1:13" x14ac:dyDescent="0.2">
      <c r="A165" s="455" t="s">
        <v>93</v>
      </c>
      <c r="B165" s="455"/>
      <c r="C165" s="455"/>
      <c r="D165" s="455"/>
      <c r="E165" s="455"/>
      <c r="F165" s="455"/>
    </row>
    <row r="166" spans="1:13" x14ac:dyDescent="0.2">
      <c r="A166" s="230" t="s">
        <v>86</v>
      </c>
      <c r="B166" s="455" t="s">
        <v>95</v>
      </c>
      <c r="C166" s="455"/>
      <c r="D166" s="455"/>
      <c r="E166" s="455"/>
      <c r="F166" s="455"/>
      <c r="G166" s="455"/>
      <c r="H166" s="455"/>
      <c r="I166" s="455"/>
      <c r="J166" s="455"/>
      <c r="K166" s="455"/>
    </row>
    <row r="167" spans="1:13" x14ac:dyDescent="0.2">
      <c r="A167" s="230" t="s">
        <v>87</v>
      </c>
      <c r="B167" s="455" t="str">
        <f>CONCATENATE("Irrigated corn yield is ",'Strip-Till'!$F$7," bu. and irrigated peanut yield is ",'Strip-Till'!$D$7," lbs.")</f>
        <v>Irrigated corn yield is 200 bu. and irrigated peanut yield is 4700 lbs.</v>
      </c>
      <c r="C167" s="455"/>
      <c r="D167" s="455"/>
      <c r="E167" s="455"/>
      <c r="F167" s="455"/>
      <c r="G167" s="455"/>
      <c r="H167" s="455"/>
      <c r="I167" s="174"/>
      <c r="J167" s="174"/>
      <c r="K167" s="174"/>
    </row>
    <row r="168" spans="1:13" x14ac:dyDescent="0.2">
      <c r="A168" s="230" t="s">
        <v>88</v>
      </c>
      <c r="B168" s="455" t="str">
        <f>CONCATENATE("Non-irrigated corn yield is ",'Strip-Till'!$P$7," bu. and non-irrigated peanut yield is ",'Strip-Till'!N7," lbs.")</f>
        <v>Non-irrigated corn yield is 85 bu. and non-irrigated peanut yield is 3400 lbs.</v>
      </c>
      <c r="C168" s="455"/>
      <c r="D168" s="455"/>
      <c r="E168" s="455"/>
      <c r="F168" s="455"/>
      <c r="G168" s="455"/>
      <c r="H168" s="455"/>
      <c r="I168" s="455"/>
      <c r="J168" s="174"/>
      <c r="K168" s="174"/>
    </row>
    <row r="169" spans="1:13" x14ac:dyDescent="0.2">
      <c r="A169" s="230" t="s">
        <v>89</v>
      </c>
      <c r="B169" s="455" t="s">
        <v>103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</row>
    <row r="199" spans="1:13" x14ac:dyDescent="0.2">
      <c r="A199" s="455" t="s">
        <v>93</v>
      </c>
      <c r="B199" s="455"/>
      <c r="C199" s="455"/>
      <c r="D199" s="455"/>
      <c r="E199" s="455"/>
      <c r="F199" s="455"/>
    </row>
    <row r="200" spans="1:13" x14ac:dyDescent="0.2">
      <c r="A200" s="230" t="s">
        <v>86</v>
      </c>
      <c r="B200" s="455" t="s">
        <v>96</v>
      </c>
      <c r="C200" s="455"/>
      <c r="D200" s="455"/>
      <c r="E200" s="455"/>
      <c r="F200" s="455"/>
      <c r="G200" s="455"/>
      <c r="H200" s="455"/>
      <c r="I200" s="455"/>
      <c r="J200" s="455"/>
      <c r="K200" s="455"/>
      <c r="L200" s="455"/>
    </row>
    <row r="201" spans="1:13" x14ac:dyDescent="0.2">
      <c r="A201" s="230" t="s">
        <v>87</v>
      </c>
      <c r="B201" s="455" t="str">
        <f>CONCATENATE("Irrigated soybean yield is ",'Strip-Till'!$H$7," bu. and irrigated peanut yield is ",'Strip-Till'!$D$7," lbs.")</f>
        <v>Irrigated soybean yield is 60 bu. and irrigated peanut yield is 4700 lbs.</v>
      </c>
      <c r="C201" s="455"/>
      <c r="D201" s="455"/>
      <c r="E201" s="455"/>
      <c r="F201" s="455"/>
      <c r="G201" s="455"/>
      <c r="H201" s="455"/>
      <c r="I201" s="174"/>
      <c r="J201" s="174"/>
      <c r="K201" s="174"/>
    </row>
    <row r="202" spans="1:13" x14ac:dyDescent="0.2">
      <c r="A202" s="230" t="s">
        <v>88</v>
      </c>
      <c r="B202" s="455" t="str">
        <f>CONCATENATE("Non-irrigated soybean yield is ",'Strip-Till'!$R$7," bu. and non-irrigated peanut yield is ",'Strip-Till'!$N$7," lbs.")</f>
        <v>Non-irrigated soybean yield is 30 bu. and non-irrigated peanut yield is 3400 lbs.</v>
      </c>
      <c r="C202" s="455"/>
      <c r="D202" s="455"/>
      <c r="E202" s="455"/>
      <c r="F202" s="455"/>
      <c r="G202" s="455"/>
      <c r="H202" s="455"/>
      <c r="I202" s="455"/>
      <c r="J202" s="174"/>
      <c r="K202" s="174"/>
    </row>
    <row r="203" spans="1:13" x14ac:dyDescent="0.2">
      <c r="A203" s="230" t="s">
        <v>89</v>
      </c>
      <c r="B203" s="455" t="s">
        <v>103</v>
      </c>
      <c r="C203" s="455"/>
      <c r="D203" s="455"/>
      <c r="E203" s="455"/>
      <c r="F203" s="455"/>
      <c r="G203" s="455"/>
      <c r="H203" s="455"/>
      <c r="I203" s="455"/>
      <c r="J203" s="455"/>
      <c r="K203" s="455"/>
      <c r="L203" s="455"/>
      <c r="M203" s="455"/>
    </row>
    <row r="233" spans="1:13" x14ac:dyDescent="0.2">
      <c r="A233" s="456" t="s">
        <v>93</v>
      </c>
      <c r="B233" s="456"/>
      <c r="C233" s="456"/>
      <c r="D233" s="456"/>
      <c r="E233" s="456"/>
      <c r="F233" s="456"/>
    </row>
    <row r="234" spans="1:13" x14ac:dyDescent="0.2">
      <c r="A234" s="230" t="s">
        <v>86</v>
      </c>
      <c r="B234" s="455" t="s">
        <v>97</v>
      </c>
      <c r="C234" s="455"/>
      <c r="D234" s="455"/>
      <c r="E234" s="455"/>
      <c r="F234" s="455"/>
      <c r="G234" s="455"/>
      <c r="H234" s="455"/>
      <c r="I234" s="455"/>
      <c r="J234" s="455"/>
      <c r="K234" s="455"/>
    </row>
    <row r="235" spans="1:13" x14ac:dyDescent="0.2">
      <c r="A235" s="230" t="s">
        <v>87</v>
      </c>
      <c r="B235" s="455" t="str">
        <f>CONCATENATE("Irrigated cotton yield is ",'Strip-Till'!$B$7," lbs. and irrigated corn yield is ",'Strip-Till'!$F$7," bu.")</f>
        <v>Irrigated cotton yield is 1200 lbs. and irrigated corn yield is 200 bu.</v>
      </c>
      <c r="C235" s="455"/>
      <c r="D235" s="455"/>
      <c r="E235" s="455"/>
      <c r="F235" s="455"/>
      <c r="G235" s="455"/>
      <c r="H235" s="455"/>
      <c r="I235" s="174"/>
      <c r="J235" s="174"/>
      <c r="K235" s="174"/>
    </row>
    <row r="236" spans="1:13" x14ac:dyDescent="0.2">
      <c r="A236" s="230" t="s">
        <v>88</v>
      </c>
      <c r="B236" s="455" t="str">
        <f>CONCATENATE("Non-irrigated cotton yield is ",'Strip-Till'!$L$7," lbs. and non-irrigated corn yield is ",'Strip-Till'!$P$7," bu.")</f>
        <v>Non-irrigated cotton yield is 750 lbs. and non-irrigated corn yield is 85 bu.</v>
      </c>
      <c r="C236" s="455"/>
      <c r="D236" s="455"/>
      <c r="E236" s="455"/>
      <c r="F236" s="455"/>
      <c r="G236" s="455"/>
      <c r="H236" s="455"/>
      <c r="I236" s="455"/>
      <c r="J236" s="174"/>
      <c r="K236" s="174"/>
    </row>
    <row r="237" spans="1:13" x14ac:dyDescent="0.2">
      <c r="A237" s="230" t="s">
        <v>89</v>
      </c>
      <c r="B237" s="455" t="s">
        <v>103</v>
      </c>
      <c r="C237" s="455"/>
      <c r="D237" s="455"/>
      <c r="E237" s="455"/>
      <c r="F237" s="455"/>
      <c r="G237" s="455"/>
      <c r="H237" s="455"/>
      <c r="I237" s="455"/>
      <c r="J237" s="455"/>
      <c r="K237" s="455"/>
      <c r="L237" s="455"/>
      <c r="M237" s="455"/>
    </row>
    <row r="267" spans="1:13" x14ac:dyDescent="0.2">
      <c r="A267" s="455" t="s">
        <v>93</v>
      </c>
      <c r="B267" s="455"/>
      <c r="C267" s="455"/>
      <c r="D267" s="455"/>
      <c r="E267" s="455"/>
      <c r="F267" s="455"/>
    </row>
    <row r="268" spans="1:13" x14ac:dyDescent="0.2">
      <c r="A268" s="230" t="s">
        <v>86</v>
      </c>
      <c r="B268" s="455" t="s">
        <v>98</v>
      </c>
      <c r="C268" s="455"/>
      <c r="D268" s="455"/>
      <c r="E268" s="455"/>
      <c r="F268" s="455"/>
      <c r="G268" s="455"/>
      <c r="H268" s="455"/>
      <c r="I268" s="455"/>
      <c r="J268" s="455"/>
      <c r="K268" s="455"/>
    </row>
    <row r="269" spans="1:13" x14ac:dyDescent="0.2">
      <c r="A269" s="230" t="s">
        <v>87</v>
      </c>
      <c r="B269" s="455" t="str">
        <f>CONCATENATE("Irrigated peanut yield is ",'Strip-Till'!$D$7," lbs. and irrigated corn yield is ",'Strip-Till'!$F$7," bu.")</f>
        <v>Irrigated peanut yield is 4700 lbs. and irrigated corn yield is 200 bu.</v>
      </c>
      <c r="C269" s="455"/>
      <c r="D269" s="455"/>
      <c r="E269" s="455"/>
      <c r="F269" s="455"/>
      <c r="G269" s="455"/>
      <c r="H269" s="455"/>
      <c r="I269" s="174"/>
      <c r="J269" s="174"/>
      <c r="K269" s="174"/>
    </row>
    <row r="270" spans="1:13" x14ac:dyDescent="0.2">
      <c r="A270" s="230" t="s">
        <v>88</v>
      </c>
      <c r="B270" s="455" t="str">
        <f>CONCATENATE("Non-irrigated peanut yield is ",'Strip-Till'!$N$7," lbs. and non-irrigated corn yield is ",'Strip-Till'!$P$7," bu.")</f>
        <v>Non-irrigated peanut yield is 3400 lbs. and non-irrigated corn yield is 85 bu.</v>
      </c>
      <c r="C270" s="455"/>
      <c r="D270" s="455"/>
      <c r="E270" s="455"/>
      <c r="F270" s="455"/>
      <c r="G270" s="455"/>
      <c r="H270" s="455"/>
      <c r="I270" s="455"/>
      <c r="J270" s="174"/>
      <c r="K270" s="174"/>
    </row>
    <row r="271" spans="1:13" x14ac:dyDescent="0.2">
      <c r="A271" s="230" t="s">
        <v>89</v>
      </c>
      <c r="B271" s="455" t="s">
        <v>103</v>
      </c>
      <c r="C271" s="455"/>
      <c r="D271" s="455"/>
      <c r="E271" s="455"/>
      <c r="F271" s="455"/>
      <c r="G271" s="455"/>
      <c r="H271" s="455"/>
      <c r="I271" s="455"/>
      <c r="J271" s="455"/>
      <c r="K271" s="455"/>
      <c r="L271" s="455"/>
      <c r="M271" s="455"/>
    </row>
    <row r="301" spans="1:12" x14ac:dyDescent="0.2">
      <c r="A301" s="455" t="s">
        <v>93</v>
      </c>
      <c r="B301" s="455"/>
      <c r="C301" s="455"/>
      <c r="D301" s="455"/>
      <c r="E301" s="455"/>
      <c r="F301" s="455"/>
    </row>
    <row r="302" spans="1:12" x14ac:dyDescent="0.2">
      <c r="A302" s="230" t="s">
        <v>86</v>
      </c>
      <c r="B302" s="455" t="s">
        <v>99</v>
      </c>
      <c r="C302" s="455"/>
      <c r="D302" s="455"/>
      <c r="E302" s="455"/>
      <c r="F302" s="455"/>
      <c r="G302" s="455"/>
      <c r="H302" s="455"/>
      <c r="I302" s="455"/>
      <c r="J302" s="455"/>
      <c r="K302" s="455"/>
      <c r="L302" s="455"/>
    </row>
    <row r="303" spans="1:12" x14ac:dyDescent="0.2">
      <c r="A303" s="230" t="s">
        <v>87</v>
      </c>
      <c r="B303" s="455" t="str">
        <f>CONCATENATE("Irrigated soybean yield is ",'Strip-Till'!$H$7," bu. and irrigated corn yield is ",'Strip-Till'!$F$7," bu.")</f>
        <v>Irrigated soybean yield is 60 bu. and irrigated corn yield is 200 bu.</v>
      </c>
      <c r="C303" s="455"/>
      <c r="D303" s="455"/>
      <c r="E303" s="455"/>
      <c r="F303" s="455"/>
      <c r="G303" s="455"/>
      <c r="H303" s="455"/>
      <c r="I303" s="174"/>
      <c r="J303" s="174"/>
      <c r="K303" s="174"/>
    </row>
    <row r="304" spans="1:12" x14ac:dyDescent="0.2">
      <c r="A304" s="230" t="s">
        <v>88</v>
      </c>
      <c r="B304" s="455" t="str">
        <f>CONCATENATE("Non-irrigated soybean yield is ",'Strip-Till'!$R$7," bu. and non-irrigated corn yield is ",'Strip-Till'!$P$7," bu.")</f>
        <v>Non-irrigated soybean yield is 30 bu. and non-irrigated corn yield is 85 bu.</v>
      </c>
      <c r="C304" s="455"/>
      <c r="D304" s="455"/>
      <c r="E304" s="455"/>
      <c r="F304" s="455"/>
      <c r="G304" s="455"/>
      <c r="H304" s="455"/>
      <c r="I304" s="455"/>
      <c r="J304" s="174"/>
      <c r="K304" s="174"/>
    </row>
    <row r="305" spans="1:13" x14ac:dyDescent="0.2">
      <c r="A305" s="230" t="s">
        <v>89</v>
      </c>
      <c r="B305" s="455" t="s">
        <v>103</v>
      </c>
      <c r="C305" s="455"/>
      <c r="D305" s="455"/>
      <c r="E305" s="455"/>
      <c r="F305" s="455"/>
      <c r="G305" s="455"/>
      <c r="H305" s="455"/>
      <c r="I305" s="455"/>
      <c r="J305" s="455"/>
      <c r="K305" s="455"/>
      <c r="L305" s="455"/>
      <c r="M305" s="455"/>
    </row>
    <row r="334" spans="1:12" x14ac:dyDescent="0.2">
      <c r="A334" s="456" t="s">
        <v>93</v>
      </c>
      <c r="B334" s="456"/>
      <c r="C334" s="456"/>
      <c r="D334" s="456"/>
      <c r="E334" s="456"/>
      <c r="F334" s="456"/>
    </row>
    <row r="335" spans="1:12" x14ac:dyDescent="0.2">
      <c r="A335" s="230" t="s">
        <v>86</v>
      </c>
      <c r="B335" s="455" t="s">
        <v>100</v>
      </c>
      <c r="C335" s="455"/>
      <c r="D335" s="455"/>
      <c r="E335" s="455"/>
      <c r="F335" s="455"/>
      <c r="G335" s="455"/>
      <c r="H335" s="455"/>
      <c r="I335" s="455"/>
      <c r="J335" s="455"/>
      <c r="K335" s="455"/>
      <c r="L335" s="455"/>
    </row>
    <row r="336" spans="1:12" x14ac:dyDescent="0.2">
      <c r="A336" s="230" t="s">
        <v>87</v>
      </c>
      <c r="B336" s="455" t="str">
        <f>CONCATENATE("Irrigated cotton yield is ",'Strip-Till'!$B$7," lbs. and irrigated soybean yield is ",'Strip-Till'!$H$7," bu.")</f>
        <v>Irrigated cotton yield is 1200 lbs. and irrigated soybean yield is 60 bu.</v>
      </c>
      <c r="C336" s="455"/>
      <c r="D336" s="455"/>
      <c r="E336" s="455"/>
      <c r="F336" s="455"/>
      <c r="G336" s="455"/>
      <c r="H336" s="455"/>
      <c r="I336" s="174"/>
      <c r="J336" s="174"/>
      <c r="K336" s="174"/>
    </row>
    <row r="337" spans="1:13" x14ac:dyDescent="0.2">
      <c r="A337" s="230" t="s">
        <v>88</v>
      </c>
      <c r="B337" s="455" t="str">
        <f>CONCATENATE("Non-irrigated cotton yield is ",'Strip-Till'!$L$7," lbs. and non-irrigated soybean yield is ",'Strip-Till'!$R$7," bu.")</f>
        <v>Non-irrigated cotton yield is 750 lbs. and non-irrigated soybean yield is 30 bu.</v>
      </c>
      <c r="C337" s="455"/>
      <c r="D337" s="455"/>
      <c r="E337" s="455"/>
      <c r="F337" s="455"/>
      <c r="G337" s="455"/>
      <c r="H337" s="455"/>
      <c r="I337" s="455"/>
      <c r="J337" s="174"/>
      <c r="K337" s="174"/>
    </row>
    <row r="338" spans="1:13" x14ac:dyDescent="0.2">
      <c r="A338" s="230" t="s">
        <v>89</v>
      </c>
      <c r="B338" s="455" t="s">
        <v>103</v>
      </c>
      <c r="C338" s="455"/>
      <c r="D338" s="455"/>
      <c r="E338" s="455"/>
      <c r="F338" s="455"/>
      <c r="G338" s="455"/>
      <c r="H338" s="455"/>
      <c r="I338" s="455"/>
      <c r="J338" s="455"/>
      <c r="K338" s="455"/>
      <c r="L338" s="455"/>
      <c r="M338" s="455"/>
    </row>
    <row r="369" spans="1:13" x14ac:dyDescent="0.2">
      <c r="A369" s="455" t="s">
        <v>93</v>
      </c>
      <c r="B369" s="455"/>
      <c r="C369" s="455"/>
      <c r="D369" s="455"/>
      <c r="E369" s="455"/>
      <c r="F369" s="455"/>
    </row>
    <row r="370" spans="1:13" x14ac:dyDescent="0.2">
      <c r="A370" s="230" t="s">
        <v>86</v>
      </c>
      <c r="B370" s="455" t="s">
        <v>101</v>
      </c>
      <c r="C370" s="455"/>
      <c r="D370" s="455"/>
      <c r="E370" s="455"/>
      <c r="F370" s="455"/>
      <c r="G370" s="455"/>
      <c r="H370" s="455"/>
      <c r="I370" s="455"/>
      <c r="J370" s="455"/>
      <c r="K370" s="455"/>
      <c r="L370" s="455"/>
    </row>
    <row r="371" spans="1:13" x14ac:dyDescent="0.2">
      <c r="A371" s="230" t="s">
        <v>87</v>
      </c>
      <c r="B371" s="455" t="str">
        <f>CONCATENATE("Irrigated peanut yield is ",'Strip-Till'!$D$7," lbs. and irrigated soybean yield is ",'Strip-Till'!$H$7," bu.")</f>
        <v>Irrigated peanut yield is 4700 lbs. and irrigated soybean yield is 60 bu.</v>
      </c>
      <c r="C371" s="455"/>
      <c r="D371" s="455"/>
      <c r="E371" s="455"/>
      <c r="F371" s="455"/>
      <c r="G371" s="455"/>
      <c r="H371" s="455"/>
      <c r="I371" s="174"/>
      <c r="J371" s="174"/>
      <c r="K371" s="174"/>
    </row>
    <row r="372" spans="1:13" x14ac:dyDescent="0.2">
      <c r="A372" s="230" t="s">
        <v>88</v>
      </c>
      <c r="B372" s="455" t="str">
        <f>CONCATENATE("Non-irrigated peanut yield is ",'Strip-Till'!$N$7," lbs. and non-irrigated soybean yield is ",'Strip-Till'!$R$7," bu.")</f>
        <v>Non-irrigated peanut yield is 3400 lbs. and non-irrigated soybean yield is 30 bu.</v>
      </c>
      <c r="C372" s="455"/>
      <c r="D372" s="455"/>
      <c r="E372" s="455"/>
      <c r="F372" s="455"/>
      <c r="G372" s="455"/>
      <c r="H372" s="455"/>
      <c r="I372" s="455"/>
      <c r="J372" s="174"/>
      <c r="K372" s="174"/>
    </row>
    <row r="373" spans="1:13" x14ac:dyDescent="0.2">
      <c r="A373" s="230" t="s">
        <v>89</v>
      </c>
      <c r="B373" s="455" t="s">
        <v>103</v>
      </c>
      <c r="C373" s="455"/>
      <c r="D373" s="455"/>
      <c r="E373" s="455"/>
      <c r="F373" s="455"/>
      <c r="G373" s="455"/>
      <c r="H373" s="455"/>
      <c r="I373" s="455"/>
      <c r="J373" s="455"/>
      <c r="K373" s="455"/>
      <c r="L373" s="455"/>
      <c r="M373" s="455"/>
    </row>
    <row r="403" spans="1:13" x14ac:dyDescent="0.2">
      <c r="A403" s="455" t="s">
        <v>93</v>
      </c>
      <c r="B403" s="455"/>
      <c r="C403" s="455"/>
      <c r="D403" s="455"/>
      <c r="E403" s="455"/>
      <c r="F403" s="455"/>
    </row>
    <row r="404" spans="1:13" x14ac:dyDescent="0.2">
      <c r="A404" s="230" t="s">
        <v>86</v>
      </c>
      <c r="B404" s="455" t="s">
        <v>102</v>
      </c>
      <c r="C404" s="455"/>
      <c r="D404" s="455"/>
      <c r="E404" s="455"/>
      <c r="F404" s="455"/>
      <c r="G404" s="455"/>
      <c r="H404" s="455"/>
      <c r="I404" s="455"/>
      <c r="J404" s="455"/>
      <c r="K404" s="455"/>
      <c r="L404" s="455"/>
    </row>
    <row r="405" spans="1:13" x14ac:dyDescent="0.2">
      <c r="A405" s="230" t="s">
        <v>87</v>
      </c>
      <c r="B405" s="455" t="str">
        <f>CONCATENATE("Irrigated corn yield is ",'Strip-Till'!$F$7," bu. and irrigated soybean yield is ",'Strip-Till'!$H$7," bu.")</f>
        <v>Irrigated corn yield is 200 bu. and irrigated soybean yield is 60 bu.</v>
      </c>
      <c r="C405" s="455"/>
      <c r="D405" s="455"/>
      <c r="E405" s="455"/>
      <c r="F405" s="455"/>
      <c r="G405" s="455"/>
      <c r="H405" s="455"/>
      <c r="I405" s="174"/>
      <c r="J405" s="174"/>
      <c r="K405" s="174"/>
    </row>
    <row r="406" spans="1:13" x14ac:dyDescent="0.2">
      <c r="A406" s="230" t="s">
        <v>88</v>
      </c>
      <c r="B406" s="455" t="str">
        <f>CONCATENATE("Non-irrigated corn yield is ",'Strip-Till'!$P$7," bu. and non-irrigated soybean yield is ",'Strip-Till'!$R$7," bu.")</f>
        <v>Non-irrigated corn yield is 85 bu. and non-irrigated soybean yield is 30 bu.</v>
      </c>
      <c r="C406" s="455"/>
      <c r="D406" s="455"/>
      <c r="E406" s="455"/>
      <c r="F406" s="455"/>
      <c r="G406" s="455"/>
      <c r="H406" s="455"/>
      <c r="I406" s="455"/>
      <c r="J406" s="174"/>
      <c r="K406" s="174"/>
    </row>
    <row r="407" spans="1:13" x14ac:dyDescent="0.2">
      <c r="A407" s="230" t="s">
        <v>89</v>
      </c>
      <c r="B407" s="455" t="s">
        <v>103</v>
      </c>
      <c r="C407" s="455"/>
      <c r="D407" s="455"/>
      <c r="E407" s="455"/>
      <c r="F407" s="455"/>
      <c r="G407" s="455"/>
      <c r="H407" s="455"/>
      <c r="I407" s="455"/>
      <c r="J407" s="455"/>
      <c r="K407" s="455"/>
      <c r="L407" s="455"/>
      <c r="M407" s="455"/>
    </row>
  </sheetData>
  <sheetProtection sheet="1" objects="1" scenarios="1"/>
  <mergeCells count="60">
    <mergeCell ref="A29:F29"/>
    <mergeCell ref="B30:K30"/>
    <mergeCell ref="B31:H31"/>
    <mergeCell ref="B32:I32"/>
    <mergeCell ref="A63:F63"/>
    <mergeCell ref="B33:M33"/>
    <mergeCell ref="B64:K64"/>
    <mergeCell ref="B65:H65"/>
    <mergeCell ref="B66:I66"/>
    <mergeCell ref="A97:F97"/>
    <mergeCell ref="B98:L98"/>
    <mergeCell ref="B67:M67"/>
    <mergeCell ref="B99:H99"/>
    <mergeCell ref="B100:I100"/>
    <mergeCell ref="A131:F131"/>
    <mergeCell ref="B132:K132"/>
    <mergeCell ref="B133:H133"/>
    <mergeCell ref="B101:M101"/>
    <mergeCell ref="B134:I134"/>
    <mergeCell ref="A165:F165"/>
    <mergeCell ref="B166:K166"/>
    <mergeCell ref="B167:H167"/>
    <mergeCell ref="B168:I168"/>
    <mergeCell ref="B135:M135"/>
    <mergeCell ref="B169:M169"/>
    <mergeCell ref="A233:F233"/>
    <mergeCell ref="B234:K234"/>
    <mergeCell ref="B235:H235"/>
    <mergeCell ref="B236:I236"/>
    <mergeCell ref="A199:F199"/>
    <mergeCell ref="B200:L200"/>
    <mergeCell ref="B201:H201"/>
    <mergeCell ref="B202:I202"/>
    <mergeCell ref="B203:M203"/>
    <mergeCell ref="A267:F267"/>
    <mergeCell ref="B237:M237"/>
    <mergeCell ref="B268:K268"/>
    <mergeCell ref="B269:H269"/>
    <mergeCell ref="B270:I270"/>
    <mergeCell ref="B302:L302"/>
    <mergeCell ref="B271:M271"/>
    <mergeCell ref="B303:H303"/>
    <mergeCell ref="B304:I304"/>
    <mergeCell ref="B338:M338"/>
    <mergeCell ref="A334:F334"/>
    <mergeCell ref="B335:L335"/>
    <mergeCell ref="B336:H336"/>
    <mergeCell ref="B305:M305"/>
    <mergeCell ref="B337:I337"/>
    <mergeCell ref="A301:F301"/>
    <mergeCell ref="B407:M407"/>
    <mergeCell ref="A369:F369"/>
    <mergeCell ref="B370:L370"/>
    <mergeCell ref="B371:H371"/>
    <mergeCell ref="B372:I372"/>
    <mergeCell ref="B373:M373"/>
    <mergeCell ref="A403:F403"/>
    <mergeCell ref="B404:L404"/>
    <mergeCell ref="B405:H405"/>
    <mergeCell ref="B406:I406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&amp;LStrip Tillage Chart</oddHeader>
    <oddFooter>&amp;L&amp;G&amp;CCharts by A.R. Smith, W. D. Shurley, and N.B. Smith&amp;RAg and Applied Economics,4/2016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M59"/>
  <sheetViews>
    <sheetView topLeftCell="A7" workbookViewId="0">
      <selection sqref="A1:I1"/>
    </sheetView>
  </sheetViews>
  <sheetFormatPr defaultColWidth="9.28515625" defaultRowHeight="12.75" x14ac:dyDescent="0.2"/>
  <cols>
    <col min="1" max="8" width="9.28515625" style="75" customWidth="1"/>
    <col min="9" max="16384" width="9.28515625" style="75"/>
  </cols>
  <sheetData>
    <row r="1" spans="1:13" s="62" customFormat="1" ht="12" hidden="1" x14ac:dyDescent="0.2">
      <c r="A1" s="61"/>
      <c r="B1" s="462" t="s">
        <v>45</v>
      </c>
      <c r="C1" s="462"/>
      <c r="D1" s="462"/>
      <c r="E1" s="462"/>
      <c r="F1" s="462"/>
      <c r="G1" s="462"/>
      <c r="H1" s="61"/>
    </row>
    <row r="2" spans="1:13" s="62" customFormat="1" ht="12" hidden="1" x14ac:dyDescent="0.2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  <c r="G2" s="64" t="str">
        <f>Conventional!V6</f>
        <v>Wheat</v>
      </c>
      <c r="H2" s="61"/>
    </row>
    <row r="3" spans="1:13" s="62" customFormat="1" ht="12" hidden="1" x14ac:dyDescent="0.2">
      <c r="A3" s="63" t="s">
        <v>41</v>
      </c>
      <c r="B3" s="65">
        <f>Conventional!B7</f>
        <v>1200</v>
      </c>
      <c r="C3" s="65">
        <f>Conventional!D7</f>
        <v>4700</v>
      </c>
      <c r="D3" s="65">
        <f>Conventional!F7</f>
        <v>200</v>
      </c>
      <c r="E3" s="65">
        <f>Conventional!H7</f>
        <v>60</v>
      </c>
      <c r="F3" s="65">
        <f>Conventional!J7</f>
        <v>100</v>
      </c>
      <c r="G3" s="65">
        <f>Conventional!V7</f>
        <v>75</v>
      </c>
      <c r="H3" s="66"/>
    </row>
    <row r="4" spans="1:13" s="62" customFormat="1" ht="12" hidden="1" x14ac:dyDescent="0.2">
      <c r="A4" s="62" t="s">
        <v>42</v>
      </c>
      <c r="B4" s="67">
        <f>Conventional!B8</f>
        <v>0.7</v>
      </c>
      <c r="C4" s="68">
        <f>Conventional!D8</f>
        <v>430</v>
      </c>
      <c r="D4" s="69">
        <f>Conventional!F8</f>
        <v>4.1500000000000004</v>
      </c>
      <c r="E4" s="69">
        <f>Conventional!H8</f>
        <v>9.5</v>
      </c>
      <c r="F4" s="69">
        <f>Conventional!J8</f>
        <v>3.75</v>
      </c>
      <c r="G4" s="69">
        <f>Conventional!V8</f>
        <v>4.1500000000000004</v>
      </c>
      <c r="H4" s="69"/>
    </row>
    <row r="5" spans="1:13" s="62" customFormat="1" ht="12" hidden="1" x14ac:dyDescent="0.2">
      <c r="A5" s="70" t="s">
        <v>44</v>
      </c>
      <c r="B5" s="71">
        <f>B3*B4</f>
        <v>840</v>
      </c>
      <c r="C5" s="71">
        <f>C3*C4/2000</f>
        <v>1010.5</v>
      </c>
      <c r="D5" s="71">
        <f>D3*D4</f>
        <v>830.00000000000011</v>
      </c>
      <c r="E5" s="71">
        <f>E3*E4</f>
        <v>570</v>
      </c>
      <c r="F5" s="71">
        <f>F3*F4</f>
        <v>375</v>
      </c>
      <c r="G5" s="71">
        <f>G3*G4</f>
        <v>311.25</v>
      </c>
      <c r="H5" s="72"/>
    </row>
    <row r="6" spans="1:13" s="62" customFormat="1" ht="12" hidden="1" x14ac:dyDescent="0.2">
      <c r="A6" s="70" t="s">
        <v>43</v>
      </c>
      <c r="B6" s="73">
        <f>Conventional!B30</f>
        <v>502.70786422727281</v>
      </c>
      <c r="C6" s="73">
        <f>Conventional!D30</f>
        <v>639.00182499999994</v>
      </c>
      <c r="D6" s="73">
        <f>Conventional!F30</f>
        <v>563.76092500000004</v>
      </c>
      <c r="E6" s="73">
        <f>Conventional!H30</f>
        <v>252.41029835000001</v>
      </c>
      <c r="F6" s="73">
        <f>Conventional!J30</f>
        <v>310.47555</v>
      </c>
      <c r="G6" s="73">
        <f>Conventional!V30</f>
        <v>271.16931918749998</v>
      </c>
      <c r="H6" s="68"/>
    </row>
    <row r="7" spans="1:13" s="62" customFormat="1" ht="15.75" x14ac:dyDescent="0.25">
      <c r="A7" s="463" t="s">
        <v>127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64" t="s">
        <v>153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</row>
    <row r="10" spans="1:13" x14ac:dyDescent="0.2">
      <c r="A10" s="458" t="s">
        <v>47</v>
      </c>
      <c r="B10" s="458"/>
      <c r="C10" s="458"/>
      <c r="D10" s="458"/>
      <c r="E10" s="458"/>
      <c r="F10" s="458"/>
      <c r="H10" s="458" t="s">
        <v>50</v>
      </c>
      <c r="I10" s="458"/>
      <c r="J10" s="458"/>
      <c r="K10" s="458"/>
      <c r="L10" s="458"/>
      <c r="M10" s="458"/>
    </row>
    <row r="11" spans="1:13" s="62" customFormat="1" ht="12" x14ac:dyDescent="0.2">
      <c r="A11" s="457" t="s">
        <v>36</v>
      </c>
      <c r="B11" s="457"/>
      <c r="C11" s="457"/>
      <c r="D11" s="457"/>
      <c r="E11" s="457"/>
      <c r="F11" s="457"/>
      <c r="H11" s="461" t="s">
        <v>36</v>
      </c>
      <c r="I11" s="461"/>
      <c r="J11" s="461"/>
      <c r="K11" s="461"/>
      <c r="L11" s="461"/>
      <c r="M11" s="461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2">
      <c r="A14" s="84">
        <f>A16*0.7</f>
        <v>2.9050000000000002</v>
      </c>
      <c r="B14" s="85">
        <f>$A$14*B$13-$D$6</f>
        <v>-128.01092499999999</v>
      </c>
      <c r="C14" s="85">
        <f>$A$14*C$13-$D$6</f>
        <v>-40.860924999999952</v>
      </c>
      <c r="D14" s="85">
        <f>$A$14*D$13-$D$6</f>
        <v>17.239074999999957</v>
      </c>
      <c r="E14" s="85">
        <f>$A$14*E$13-$D$6</f>
        <v>75.339075000000093</v>
      </c>
      <c r="F14" s="85">
        <f>$A$14*F$13-$D$6</f>
        <v>162.48907500000007</v>
      </c>
      <c r="H14" s="84">
        <f>H16*0.7</f>
        <v>0.48999999999999994</v>
      </c>
      <c r="I14" s="87">
        <f>$H$14*$I$13-$B$6</f>
        <v>-61.707864227272864</v>
      </c>
      <c r="J14" s="87">
        <f>$H$14*J13-$B$6</f>
        <v>26.492135772727124</v>
      </c>
      <c r="K14" s="87">
        <f>$H$14*K13-$B$6</f>
        <v>85.292135772727079</v>
      </c>
      <c r="L14" s="87">
        <f>$H$14*L13-$B$6</f>
        <v>144.09213577272715</v>
      </c>
      <c r="M14" s="87">
        <f>$H$14*M13-$B$6</f>
        <v>232.29213577272708</v>
      </c>
    </row>
    <row r="15" spans="1:13" x14ac:dyDescent="0.2">
      <c r="A15" s="86">
        <f>A16*0.85</f>
        <v>3.5275000000000003</v>
      </c>
      <c r="B15" s="87">
        <f>$A$15*B$13-$D$6</f>
        <v>-34.635925000000043</v>
      </c>
      <c r="C15" s="87">
        <f>$A$15*C$13-$D$6</f>
        <v>71.189075000000003</v>
      </c>
      <c r="D15" s="87">
        <f>$A$15*D$13-$D$6</f>
        <v>141.73907500000007</v>
      </c>
      <c r="E15" s="87">
        <f>$A$15*E$13-$D$6</f>
        <v>212.28907500000014</v>
      </c>
      <c r="F15" s="87">
        <f>$A$15*F$13-$D$6</f>
        <v>318.11407500000007</v>
      </c>
      <c r="H15" s="86">
        <f>H16*0.85</f>
        <v>0.59499999999999997</v>
      </c>
      <c r="I15" s="87">
        <f>$H$15*$I$13-$B$6</f>
        <v>32.792135772727192</v>
      </c>
      <c r="J15" s="87">
        <f>$H$15*J13-$B$6</f>
        <v>139.89213577272722</v>
      </c>
      <c r="K15" s="87">
        <f>$H$15*K13-$B$6</f>
        <v>211.29213577272719</v>
      </c>
      <c r="L15" s="87">
        <f>$H$15*L13-$B$6</f>
        <v>282.69213577272717</v>
      </c>
      <c r="M15" s="87">
        <f>$H$15*M13-$B$6</f>
        <v>389.79213577272719</v>
      </c>
    </row>
    <row r="16" spans="1:13" x14ac:dyDescent="0.2">
      <c r="A16" s="86">
        <f>D4</f>
        <v>4.1500000000000004</v>
      </c>
      <c r="B16" s="87">
        <f>$A$16*B$13-$D$6</f>
        <v>58.739074999999957</v>
      </c>
      <c r="C16" s="87">
        <f>$A$16*C$13-$D$6</f>
        <v>183.23907500000007</v>
      </c>
      <c r="D16" s="87">
        <f>$A$16*D$13-$D$6</f>
        <v>266.23907500000007</v>
      </c>
      <c r="E16" s="87">
        <f>$A$16*E$13-$D$6</f>
        <v>349.23907500000018</v>
      </c>
      <c r="F16" s="87">
        <f>$A$16*F$13-$D$6</f>
        <v>473.73907499999996</v>
      </c>
      <c r="H16" s="86">
        <f>B4</f>
        <v>0.7</v>
      </c>
      <c r="I16" s="87">
        <f>$H$16*$I$13-$B$6</f>
        <v>127.29213577272719</v>
      </c>
      <c r="J16" s="87">
        <f>$H$16*J13-$B$6</f>
        <v>253.29213577272719</v>
      </c>
      <c r="K16" s="87">
        <f>$H$16*K13-$B$6</f>
        <v>337.29213577272719</v>
      </c>
      <c r="L16" s="87">
        <f>$H$16*L13-$B$6</f>
        <v>421.29213577272708</v>
      </c>
      <c r="M16" s="87">
        <f>$H$16*M13-$B$6</f>
        <v>547.29213577272719</v>
      </c>
    </row>
    <row r="17" spans="1:13" x14ac:dyDescent="0.2">
      <c r="A17" s="86">
        <f>A16*1.15</f>
        <v>4.7725</v>
      </c>
      <c r="B17" s="87">
        <f>$A$17*B$13-$D$6</f>
        <v>152.11407499999996</v>
      </c>
      <c r="C17" s="87">
        <f>$A$17*C$13-$D$6</f>
        <v>295.28907499999991</v>
      </c>
      <c r="D17" s="87">
        <f>$A$17*D$13-$D$6</f>
        <v>390.73907499999996</v>
      </c>
      <c r="E17" s="87">
        <f>$A$17*E$13-$D$6</f>
        <v>486.189075</v>
      </c>
      <c r="F17" s="87">
        <f>$A$17*F$13-$D$6</f>
        <v>629.36407499999996</v>
      </c>
      <c r="H17" s="86">
        <f>H16*1.15</f>
        <v>0.80499999999999994</v>
      </c>
      <c r="I17" s="87">
        <f>$H$17*$I$13-$B$6</f>
        <v>221.79213577272719</v>
      </c>
      <c r="J17" s="87">
        <f>$H$17*J13-$B$6</f>
        <v>366.69213577272717</v>
      </c>
      <c r="K17" s="87">
        <f>$H$17*K13-$B$6</f>
        <v>463.29213577272708</v>
      </c>
      <c r="L17" s="87">
        <f>$H$17*L13-$B$6</f>
        <v>559.8921357727271</v>
      </c>
      <c r="M17" s="87">
        <f>$H$17*M13-$B$6</f>
        <v>704.79213577272719</v>
      </c>
    </row>
    <row r="18" spans="1:13" x14ac:dyDescent="0.2">
      <c r="A18" s="88">
        <f>A16*1.3</f>
        <v>5.3950000000000005</v>
      </c>
      <c r="B18" s="89">
        <f>$A$18*B$13-$D$6</f>
        <v>245.48907500000007</v>
      </c>
      <c r="C18" s="89">
        <f>$A$18*C$13-$D$6</f>
        <v>407.33907500000009</v>
      </c>
      <c r="D18" s="89">
        <f>$A$18*D$13-$D$6</f>
        <v>515.23907499999996</v>
      </c>
      <c r="E18" s="89">
        <f>$A$18*E$13-$D$6</f>
        <v>623.13907500000028</v>
      </c>
      <c r="F18" s="89">
        <f>$A$18*F$13-$D$6</f>
        <v>784.98907500000018</v>
      </c>
      <c r="H18" s="88">
        <f>H16*1.3</f>
        <v>0.90999999999999992</v>
      </c>
      <c r="I18" s="89">
        <f>$H$18*$I$13-$B$6</f>
        <v>316.29213577272708</v>
      </c>
      <c r="J18" s="89">
        <f>$H$18*J13-$B$6</f>
        <v>480.09213577272715</v>
      </c>
      <c r="K18" s="89">
        <f>$H$18*K13-$B$6</f>
        <v>589.29213577272719</v>
      </c>
      <c r="L18" s="89">
        <f>$H$18*L13-$B$6</f>
        <v>698.49213577272701</v>
      </c>
      <c r="M18" s="89">
        <f>$H$18*M13-$B$6</f>
        <v>862.29213577272697</v>
      </c>
    </row>
    <row r="20" spans="1:13" x14ac:dyDescent="0.2">
      <c r="A20" s="458" t="s">
        <v>48</v>
      </c>
      <c r="B20" s="458"/>
      <c r="C20" s="458"/>
      <c r="D20" s="458"/>
      <c r="E20" s="458"/>
      <c r="F20" s="458"/>
      <c r="H20" s="459" t="s">
        <v>120</v>
      </c>
      <c r="I20" s="459"/>
      <c r="J20" s="459"/>
      <c r="K20" s="459"/>
      <c r="L20" s="459"/>
      <c r="M20" s="459"/>
    </row>
    <row r="21" spans="1:13" s="62" customFormat="1" ht="12" x14ac:dyDescent="0.2">
      <c r="A21" s="457" t="s">
        <v>36</v>
      </c>
      <c r="B21" s="457"/>
      <c r="C21" s="457"/>
      <c r="D21" s="457"/>
      <c r="E21" s="457"/>
      <c r="F21" s="457"/>
      <c r="H21" s="460" t="s">
        <v>36</v>
      </c>
      <c r="I21" s="460"/>
      <c r="J21" s="460"/>
      <c r="K21" s="460"/>
      <c r="L21" s="460"/>
      <c r="M21" s="460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2">
      <c r="A24" s="84">
        <f>A26*0.7</f>
        <v>2.625</v>
      </c>
      <c r="B24" s="85">
        <f>$A$24*B$23-$F$6</f>
        <v>-113.60055</v>
      </c>
      <c r="C24" s="85">
        <f>$A$24*C$23-$F$6</f>
        <v>-74.225549999999998</v>
      </c>
      <c r="D24" s="85">
        <f>$A$24*D$23-$F$6</f>
        <v>-47.975549999999998</v>
      </c>
      <c r="E24" s="85">
        <f>$A$24*E$23-$F$6</f>
        <v>-21.725549999999942</v>
      </c>
      <c r="F24" s="85">
        <f>$A$24*F$23-$F$6</f>
        <v>17.649450000000002</v>
      </c>
      <c r="H24" s="90">
        <f>H26*0.7</f>
        <v>301</v>
      </c>
      <c r="I24" s="85">
        <f>$H$24*I$23/2000-$C$6</f>
        <v>-108.48932499999989</v>
      </c>
      <c r="J24" s="85">
        <f>$H$24*J$23/2000-$C$6</f>
        <v>-2.3868249999999307</v>
      </c>
      <c r="K24" s="85">
        <f>$H$24*K$23/2000-$C$6</f>
        <v>68.348175000000083</v>
      </c>
      <c r="L24" s="85">
        <f>$H$24*L$23/2000-$C$6</f>
        <v>139.0831750000001</v>
      </c>
      <c r="M24" s="85">
        <f>$H$24*M$23/2000-$C$6</f>
        <v>245.18567500000006</v>
      </c>
    </row>
    <row r="25" spans="1:13" x14ac:dyDescent="0.2">
      <c r="A25" s="86">
        <f>A26*0.85</f>
        <v>3.1875</v>
      </c>
      <c r="B25" s="87">
        <f>$A$25*B$23-$F$6</f>
        <v>-71.413049999999998</v>
      </c>
      <c r="C25" s="87">
        <f>$A$25*C$23-$F$6</f>
        <v>-23.600549999999998</v>
      </c>
      <c r="D25" s="87">
        <f>$A$25*D$23-$F$6</f>
        <v>8.2744500000000016</v>
      </c>
      <c r="E25" s="87">
        <f>$A$25*E$23-$F$6</f>
        <v>40.149450000000058</v>
      </c>
      <c r="F25" s="87">
        <f>$A$25*F$23-$F$6</f>
        <v>87.961950000000002</v>
      </c>
      <c r="H25" s="91">
        <f>H26*0.85</f>
        <v>365.5</v>
      </c>
      <c r="I25" s="87">
        <f>$H$25*I$23/2000-$C$6</f>
        <v>5.1919250000000829</v>
      </c>
      <c r="J25" s="87">
        <f>$H$25*J$23/2000-$C$6</f>
        <v>134.03067500000009</v>
      </c>
      <c r="K25" s="87">
        <f>$H$25*K$23/2000-$C$6</f>
        <v>219.92317500000001</v>
      </c>
      <c r="L25" s="87">
        <f>$H$25*L$23/2000-$C$6</f>
        <v>305.81567500000006</v>
      </c>
      <c r="M25" s="87">
        <f>$H$25*M$23/2000-$C$6</f>
        <v>434.65442500000006</v>
      </c>
    </row>
    <row r="26" spans="1:13" x14ac:dyDescent="0.2">
      <c r="A26" s="86">
        <f>F4</f>
        <v>3.75</v>
      </c>
      <c r="B26" s="87">
        <f>$A$26*B$23-$F$6</f>
        <v>-29.225549999999998</v>
      </c>
      <c r="C26" s="87">
        <f>$A$26*C$23-$F$6</f>
        <v>27.024450000000002</v>
      </c>
      <c r="D26" s="87">
        <f>$A$26*D$23-$F$6</f>
        <v>64.524450000000002</v>
      </c>
      <c r="E26" s="87">
        <f>$A$26*E$23-$F$6</f>
        <v>102.02445000000006</v>
      </c>
      <c r="F26" s="87">
        <f>$A$26*F$23-$F$6</f>
        <v>158.27445</v>
      </c>
      <c r="H26" s="91">
        <f>C4</f>
        <v>430</v>
      </c>
      <c r="I26" s="87">
        <f>$H$26*I$23/2000-$C$6</f>
        <v>118.87317500000006</v>
      </c>
      <c r="J26" s="87">
        <f>$H$26*J$23/2000-$C$6</f>
        <v>270.44817500000011</v>
      </c>
      <c r="K26" s="87">
        <f>$H$26*K$23/2000-$C$6</f>
        <v>371.49817500000006</v>
      </c>
      <c r="L26" s="87">
        <f>$H$26*L$23/2000-$C$6</f>
        <v>472.54817500000001</v>
      </c>
      <c r="M26" s="87">
        <f>$H$26*M$23/2000-$C$6</f>
        <v>624.12317500000006</v>
      </c>
    </row>
    <row r="27" spans="1:13" x14ac:dyDescent="0.2">
      <c r="A27" s="86">
        <f>A26*1.15</f>
        <v>4.3125</v>
      </c>
      <c r="B27" s="87">
        <f>$A$27*B$23-$F$6</f>
        <v>12.961950000000002</v>
      </c>
      <c r="C27" s="87">
        <f>$A$27*C$23-$F$6</f>
        <v>77.649450000000002</v>
      </c>
      <c r="D27" s="87">
        <f>$A$27*D$23-$F$6</f>
        <v>120.77445</v>
      </c>
      <c r="E27" s="87">
        <f>$A$27*E$23-$F$6</f>
        <v>163.89945000000006</v>
      </c>
      <c r="F27" s="87">
        <f>$A$27*F$23-$F$6</f>
        <v>228.58695</v>
      </c>
      <c r="H27" s="91">
        <f>H26*1.15</f>
        <v>494.49999999999994</v>
      </c>
      <c r="I27" s="87">
        <f>$H$27*I$23/2000-$C$6</f>
        <v>232.55442499999992</v>
      </c>
      <c r="J27" s="87">
        <f>$H$27*J$23/2000-$C$6</f>
        <v>406.8656749999999</v>
      </c>
      <c r="K27" s="87">
        <f>$H$27*K$23/2000-$C$6</f>
        <v>523.07317499999988</v>
      </c>
      <c r="L27" s="87">
        <f>$H$27*L$23/2000-$C$6</f>
        <v>639.28067499999986</v>
      </c>
      <c r="M27" s="87">
        <f>$H$27*M$23/2000-$C$6</f>
        <v>813.59192499999983</v>
      </c>
    </row>
    <row r="28" spans="1:13" x14ac:dyDescent="0.2">
      <c r="A28" s="88">
        <f>A26*1.3</f>
        <v>4.875</v>
      </c>
      <c r="B28" s="89">
        <f>$A$28*B$23-$F$6</f>
        <v>55.149450000000002</v>
      </c>
      <c r="C28" s="89">
        <f>$A$28*C$23-$F$6</f>
        <v>128.27445</v>
      </c>
      <c r="D28" s="89">
        <f>$A$28*D$23-$F$6</f>
        <v>177.02445</v>
      </c>
      <c r="E28" s="89">
        <f>$A$28*E$23-$F$6</f>
        <v>225.77445000000012</v>
      </c>
      <c r="F28" s="89">
        <f>$A$28*F$23-$F$6</f>
        <v>298.89945</v>
      </c>
      <c r="H28" s="92">
        <f>H26*1.3</f>
        <v>559</v>
      </c>
      <c r="I28" s="89">
        <f>$H$28*I$23/2000-$C$6</f>
        <v>346.23567500000001</v>
      </c>
      <c r="J28" s="89">
        <f>$H$28*J$23/2000-$C$6</f>
        <v>543.28317500000014</v>
      </c>
      <c r="K28" s="89">
        <f>$H$28*K$23/2000-$C$6</f>
        <v>674.64817500000015</v>
      </c>
      <c r="L28" s="89">
        <f>$H$28*L$23/2000-$C$6</f>
        <v>806.01317500000016</v>
      </c>
      <c r="M28" s="89">
        <f>$H$28*M$23/2000-$C$6</f>
        <v>1003.0606750000001</v>
      </c>
    </row>
    <row r="30" spans="1:13" x14ac:dyDescent="0.2">
      <c r="A30" s="458" t="s">
        <v>49</v>
      </c>
      <c r="B30" s="458"/>
      <c r="C30" s="458"/>
      <c r="D30" s="458"/>
      <c r="E30" s="458"/>
      <c r="F30" s="458"/>
      <c r="H30" s="458" t="s">
        <v>64</v>
      </c>
      <c r="I30" s="458"/>
      <c r="J30" s="458"/>
      <c r="K30" s="458"/>
      <c r="L30" s="458"/>
      <c r="M30" s="458"/>
    </row>
    <row r="31" spans="1:13" s="62" customFormat="1" ht="12" x14ac:dyDescent="0.2">
      <c r="A31" s="457" t="s">
        <v>36</v>
      </c>
      <c r="B31" s="457"/>
      <c r="C31" s="457"/>
      <c r="D31" s="457"/>
      <c r="E31" s="457"/>
      <c r="F31" s="457"/>
      <c r="H31" s="457" t="s">
        <v>36</v>
      </c>
      <c r="I31" s="457"/>
      <c r="J31" s="457"/>
      <c r="K31" s="457"/>
      <c r="L31" s="457"/>
      <c r="M31" s="457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2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  <c r="H33" s="83" t="s">
        <v>42</v>
      </c>
      <c r="I33" s="78">
        <f>0.75*K33</f>
        <v>56.25</v>
      </c>
      <c r="J33" s="78">
        <f>0.9*K33</f>
        <v>67.5</v>
      </c>
      <c r="K33" s="78">
        <f>G3</f>
        <v>75</v>
      </c>
      <c r="L33" s="78">
        <f>K33*1.1</f>
        <v>82.5</v>
      </c>
      <c r="M33" s="78">
        <f>K33*1.25</f>
        <v>93.75</v>
      </c>
    </row>
    <row r="34" spans="1:13" x14ac:dyDescent="0.2">
      <c r="A34" s="84">
        <f>A36*0.7</f>
        <v>6.6499999999999995</v>
      </c>
      <c r="B34" s="85">
        <f>$A$34*B$33-$E$6</f>
        <v>46.839701649999995</v>
      </c>
      <c r="C34" s="85">
        <f>$A$34*C$33-$E$6</f>
        <v>106.68970164999996</v>
      </c>
      <c r="D34" s="85">
        <f>$A$34*D$33-$E$6</f>
        <v>146.58970164999994</v>
      </c>
      <c r="E34" s="85">
        <f>$A$34*E$33-$E$6</f>
        <v>186.48970164999997</v>
      </c>
      <c r="F34" s="85">
        <f>$A$34*F$33-$E$6</f>
        <v>246.33970164999994</v>
      </c>
      <c r="H34" s="84">
        <f>H36*0.7</f>
        <v>2.9050000000000002</v>
      </c>
      <c r="I34" s="85">
        <f>$H$34*I$33-$G$6</f>
        <v>-107.76306918749998</v>
      </c>
      <c r="J34" s="85">
        <f>$H$34*J$33-$G$6</f>
        <v>-75.081819187499974</v>
      </c>
      <c r="K34" s="85">
        <f>$H$34*K$33-$G$6</f>
        <v>-53.294319187499951</v>
      </c>
      <c r="L34" s="85">
        <f>$H$34*L$33-$G$6</f>
        <v>-31.506819187499957</v>
      </c>
      <c r="M34" s="85">
        <f>$H$34*M$33-$G$6</f>
        <v>1.1744308125000202</v>
      </c>
    </row>
    <row r="35" spans="1:13" x14ac:dyDescent="0.2">
      <c r="A35" s="86">
        <f>A36*0.85</f>
        <v>8.0749999999999993</v>
      </c>
      <c r="B35" s="87">
        <f>$A$35*B$33-$E$6</f>
        <v>110.96470164999994</v>
      </c>
      <c r="C35" s="87">
        <f>$A$35*C$33-$E$6</f>
        <v>183.63970164999995</v>
      </c>
      <c r="D35" s="87">
        <f>$A$35*D$33-$E$6</f>
        <v>232.08970164999994</v>
      </c>
      <c r="E35" s="87">
        <f>$A$35*E$33-$E$6</f>
        <v>280.53970164999993</v>
      </c>
      <c r="F35" s="87">
        <f>$A$35*F$33-$E$6</f>
        <v>353.21470164999999</v>
      </c>
      <c r="H35" s="86">
        <f>H36*0.85</f>
        <v>3.5275000000000003</v>
      </c>
      <c r="I35" s="87">
        <f>$H$35*I$33-$G$6</f>
        <v>-72.747444187499951</v>
      </c>
      <c r="J35" s="87">
        <f>$H$35*J$33-$G$6</f>
        <v>-33.063069187499963</v>
      </c>
      <c r="K35" s="87">
        <f>$H$35*K$33-$G$6</f>
        <v>-6.6068191874999798</v>
      </c>
      <c r="L35" s="87">
        <f>$H$35*L$33-$G$6</f>
        <v>19.849430812500032</v>
      </c>
      <c r="M35" s="87">
        <f>$H$35*M$33-$G$6</f>
        <v>59.53380581250002</v>
      </c>
    </row>
    <row r="36" spans="1:13" x14ac:dyDescent="0.2">
      <c r="A36" s="86">
        <f>E4</f>
        <v>9.5</v>
      </c>
      <c r="B36" s="87">
        <f>$A$36*B$33-$E$6</f>
        <v>175.08970164999999</v>
      </c>
      <c r="C36" s="87">
        <f>$A$36*C$33-$E$6</f>
        <v>260.58970164999999</v>
      </c>
      <c r="D36" s="87">
        <f>$A$36*D$33-$E$6</f>
        <v>317.58970164999999</v>
      </c>
      <c r="E36" s="87">
        <f>$A$36*E$33-$E$6</f>
        <v>374.58970164999999</v>
      </c>
      <c r="F36" s="87">
        <f>$A$36*F$33-$E$6</f>
        <v>460.08970164999999</v>
      </c>
      <c r="H36" s="86">
        <f>G4</f>
        <v>4.1500000000000004</v>
      </c>
      <c r="I36" s="87">
        <f>$H$36*I$33-$G$6</f>
        <v>-37.731819187499951</v>
      </c>
      <c r="J36" s="87">
        <f>$H$36*J$33-$G$6</f>
        <v>8.9556808125000202</v>
      </c>
      <c r="K36" s="87">
        <f>$H$36*K$33-$G$6</f>
        <v>40.08068081250002</v>
      </c>
      <c r="L36" s="87">
        <f>$H$36*L$33-$G$6</f>
        <v>71.205680812500077</v>
      </c>
      <c r="M36" s="87">
        <f>$H$36*M$33-$G$6</f>
        <v>117.89318081250008</v>
      </c>
    </row>
    <row r="37" spans="1:13" x14ac:dyDescent="0.2">
      <c r="A37" s="86">
        <f>A36*1.15</f>
        <v>10.924999999999999</v>
      </c>
      <c r="B37" s="87">
        <f>$A$37*B$33-$E$6</f>
        <v>239.21470164999994</v>
      </c>
      <c r="C37" s="87">
        <f>$A$37*C$33-$E$6</f>
        <v>337.53970164999993</v>
      </c>
      <c r="D37" s="87">
        <f>$A$37*D$33-$E$6</f>
        <v>403.08970164999988</v>
      </c>
      <c r="E37" s="87">
        <f>$A$37*E$33-$E$6</f>
        <v>468.63970164999995</v>
      </c>
      <c r="F37" s="87">
        <f>$A$37*F$33-$E$6</f>
        <v>566.96470164999982</v>
      </c>
      <c r="H37" s="86">
        <f>H36*1.15</f>
        <v>4.7725</v>
      </c>
      <c r="I37" s="87">
        <f>$H$37*I$33-$G$6</f>
        <v>-2.7161941874999798</v>
      </c>
      <c r="J37" s="87">
        <f>$H$37*J$33-$G$6</f>
        <v>50.974430812500032</v>
      </c>
      <c r="K37" s="87">
        <f>$H$37*K$33-$G$6</f>
        <v>86.76818081250002</v>
      </c>
      <c r="L37" s="87">
        <f>$H$37*L$33-$G$6</f>
        <v>122.56193081250001</v>
      </c>
      <c r="M37" s="87">
        <f>$H$37*M$33-$G$6</f>
        <v>176.25255581250002</v>
      </c>
    </row>
    <row r="38" spans="1:13" x14ac:dyDescent="0.2">
      <c r="A38" s="88">
        <f>A36*1.3</f>
        <v>12.35</v>
      </c>
      <c r="B38" s="89">
        <f>$A$38*B$33-$E$6</f>
        <v>303.33970164999999</v>
      </c>
      <c r="C38" s="89">
        <f>$A$38*C$33-$E$6</f>
        <v>414.48970164999997</v>
      </c>
      <c r="D38" s="89">
        <f>$A$38*D$33-$E$6</f>
        <v>488.58970164999999</v>
      </c>
      <c r="E38" s="89">
        <f>$A$38*E$33-$E$6</f>
        <v>562.68970164999996</v>
      </c>
      <c r="F38" s="89">
        <f>$A$38*F$33-$E$6</f>
        <v>673.83970165000005</v>
      </c>
      <c r="H38" s="88">
        <f>H36*1.3</f>
        <v>5.3950000000000005</v>
      </c>
      <c r="I38" s="89">
        <f>$H$38*I$33-$G$6</f>
        <v>32.29943081250002</v>
      </c>
      <c r="J38" s="89">
        <f>$H$38*J$33-$G$6</f>
        <v>92.993180812500043</v>
      </c>
      <c r="K38" s="89">
        <f>$H$38*K$33-$G$6</f>
        <v>133.45568081250008</v>
      </c>
      <c r="L38" s="89">
        <f>$H$38*L$33-$G$6</f>
        <v>173.91818081250005</v>
      </c>
      <c r="M38" s="89">
        <f>$H$38*M$33-$G$6</f>
        <v>234.61193081250008</v>
      </c>
    </row>
    <row r="39" spans="1:13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5">
    <mergeCell ref="A10:F10"/>
    <mergeCell ref="A11:F11"/>
    <mergeCell ref="H11:M11"/>
    <mergeCell ref="B1:G1"/>
    <mergeCell ref="H10:M10"/>
    <mergeCell ref="A7:M7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24:F28 B34:F38">
    <cfRule type="cellIs" dxfId="3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 xml:space="preserve">&amp;L&amp;G&amp;C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Sheet1</vt:lpstr>
      <vt:lpstr>Conventional</vt:lpstr>
      <vt:lpstr>Prices</vt:lpstr>
      <vt:lpstr>Strip-Till</vt:lpstr>
      <vt:lpstr>Peanut Price Calculator</vt:lpstr>
      <vt:lpstr>Price Comparison</vt:lpstr>
      <vt:lpstr>CTillCharts</vt:lpstr>
      <vt:lpstr>STillCharts</vt:lpstr>
      <vt:lpstr>Irrigated</vt:lpstr>
      <vt:lpstr>Dryland</vt:lpstr>
      <vt:lpstr>Irrigated ST</vt:lpstr>
      <vt:lpstr>Dryland ST</vt:lpstr>
      <vt:lpstr>Conventional!Print_Area</vt:lpstr>
      <vt:lpstr>CTillCharts!Print_Area</vt:lpstr>
      <vt:lpstr>Dryland!Print_Area</vt:lpstr>
      <vt:lpstr>'Dryland ST'!Print_Area</vt:lpstr>
      <vt:lpstr>Irrigated!Print_Area</vt:lpstr>
      <vt:lpstr>'Irrigated ST'!Print_Area</vt:lpstr>
      <vt:lpstr>'Peanut Price Calculator'!Print_Area</vt:lpstr>
      <vt:lpstr>'Price Comparison'!Print_Area</vt:lpstr>
      <vt:lpstr>STillCharts!Print_Area</vt:lpstr>
      <vt:lpstr>'Strip-Till'!Print_Area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Emily Clance</cp:lastModifiedBy>
  <cp:lastPrinted>2017-01-09T15:47:45Z</cp:lastPrinted>
  <dcterms:created xsi:type="dcterms:W3CDTF">2007-11-26T00:37:18Z</dcterms:created>
  <dcterms:modified xsi:type="dcterms:W3CDTF">2017-01-27T19:53:29Z</dcterms:modified>
</cp:coreProperties>
</file>