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ThisWorkbook" autoCompressPictures="0"/>
  <mc:AlternateContent xmlns:mc="http://schemas.openxmlformats.org/markup-compatibility/2006">
    <mc:Choice Requires="x15">
      <x15ac:absPath xmlns:x15ac="http://schemas.microsoft.com/office/spreadsheetml/2010/11/ac" url="C:\Users\Levi\Google Drive\Documents\Extension Analysis\Budget Updates\2018\"/>
    </mc:Choice>
  </mc:AlternateContent>
  <bookViews>
    <workbookView xWindow="0" yWindow="0" windowWidth="23040" windowHeight="9048" tabRatio="809" activeTab="2" xr2:uid="{00000000-000D-0000-FFFF-FFFF00000000}"/>
  </bookViews>
  <sheets>
    <sheet name="Information" sheetId="30" r:id="rId1"/>
    <sheet name="Monthly_Milk" sheetId="31" r:id="rId2"/>
    <sheet name="Main" sheetId="1" r:id="rId3"/>
    <sheet name="Fixed_Cost" sheetId="2" r:id="rId4"/>
    <sheet name="Feed" sheetId="20" state="hidden" r:id="rId5"/>
    <sheet name="Debt_Payments" sheetId="3" state="hidden" r:id="rId6"/>
    <sheet name="Feed_detail" sheetId="26" r:id="rId7"/>
    <sheet name="Raised Summary" sheetId="27" r:id="rId8"/>
    <sheet name="Corn_silage" sheetId="21" r:id="rId9"/>
    <sheet name="Sorghum_silage" sheetId="22" r:id="rId10"/>
    <sheet name="Winter_Silage" sheetId="24" r:id="rId11"/>
    <sheet name="Winter_Grazing" sheetId="28" r:id="rId12"/>
    <sheet name="Bermuda_hay" sheetId="25" r:id="rId13"/>
    <sheet name="PERMANENT_PASTURE" sheetId="29" r:id="rId14"/>
    <sheet name="E" sheetId="5" state="hidden" r:id="rId15"/>
    <sheet name="F" sheetId="6" state="hidden" r:id="rId16"/>
    <sheet name="G" sheetId="7" state="hidden" r:id="rId17"/>
    <sheet name="H" sheetId="8" state="hidden" r:id="rId18"/>
    <sheet name="I" sheetId="9" state="hidden" r:id="rId19"/>
    <sheet name="J" sheetId="10" state="hidden" r:id="rId20"/>
    <sheet name="K" sheetId="11" state="hidden" r:id="rId21"/>
    <sheet name="Payroll" sheetId="16" r:id="rId22"/>
  </sheets>
  <externalReferences>
    <externalReference r:id="rId23"/>
    <externalReference r:id="rId24"/>
    <externalReference r:id="rId25"/>
    <externalReference r:id="rId26"/>
    <externalReference r:id="rId27"/>
  </externalReferences>
  <definedNames>
    <definedName name="\0">I!$W$6</definedName>
    <definedName name="\A">I!$T$29</definedName>
    <definedName name="\AUTOEXEC">#N/A</definedName>
    <definedName name="\B">#N/A</definedName>
    <definedName name="\C">I!$K$6</definedName>
    <definedName name="\E" localSheetId="12">#REF!</definedName>
    <definedName name="\E" localSheetId="13">#REF!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 localSheetId="13">#REF!</definedName>
    <definedName name="_RET1" localSheetId="11">#REF!</definedName>
    <definedName name="_RET1">#REF!</definedName>
    <definedName name="acres" localSheetId="12">Bermuda_hay!#REF!</definedName>
    <definedName name="acres" localSheetId="13">PERMANENT_PASTURE!#REF!</definedName>
    <definedName name="ACRES">Main!$D$17</definedName>
    <definedName name="ADP" localSheetId="12">[1]Fixed_Payment!#REF!</definedName>
    <definedName name="ADP" localSheetId="13">[1]Fixed_Payment!#REF!</definedName>
    <definedName name="ADP">Debt_Payments!$A$3</definedName>
    <definedName name="AFC" localSheetId="12">[1]Fixed_Cost!#REF!</definedName>
    <definedName name="AFC" localSheetId="13">[1]Fixed_Cost!#REF!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 localSheetId="13">Bermuda_hay!$G$22</definedName>
    <definedName name="BERMUDA_PRODUCTION_COST">Bermuda_hay!$G$24</definedName>
    <definedName name="bermuda_yield" localSheetId="13">Bermuda_hay!$B$2</definedName>
    <definedName name="bermuda_yield">Bermuda_hay!$B$2</definedName>
    <definedName name="BERR">#N/A</definedName>
    <definedName name="bf">Main!$H$22</definedName>
    <definedName name="bf_base">Main!$E$99</definedName>
    <definedName name="BREAKEVEN">#N/A</definedName>
    <definedName name="BUD">#N/A</definedName>
    <definedName name="bud_show">Main!$A$12</definedName>
    <definedName name="bud_type" localSheetId="12">Bermuda_hay!#REF!</definedName>
    <definedName name="bud_type" localSheetId="13">PERMANENT_PASTURE!#REF!</definedName>
    <definedName name="bud_type">Main!$G$14</definedName>
    <definedName name="build_dep">Fixed_Cost!$J$28</definedName>
    <definedName name="bull_death">Main!$H$26</definedName>
    <definedName name="CASH" localSheetId="13">#REF!</definedName>
    <definedName name="CASH" localSheetId="11">#REF!</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Corn_silage!$E$34</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 localSheetId="13">#REF!</definedName>
    <definedName name="COST1" localSheetId="11">#REF!</definedName>
    <definedName name="COST1">#REF!</definedName>
    <definedName name="COST2" localSheetId="13">#REF!</definedName>
    <definedName name="COST2" localSheetId="11">#REF!</definedName>
    <definedName name="COST2">#REF!</definedName>
    <definedName name="cows">Main!$H$16</definedName>
    <definedName name="cubic_yds" localSheetId="13">#REF!</definedName>
    <definedName name="cubic_yds" localSheetId="9">#REF!</definedName>
    <definedName name="cubic_yds" localSheetId="11">#REF!</definedName>
    <definedName name="cubic_yds">#REF!</definedName>
    <definedName name="cull_rate">Main!$H$24</definedName>
    <definedName name="CUMPGPH">[1]Instructions:Establishment!$B$4:$B$4</definedName>
    <definedName name="CUMPGPH2">[1]Instructions:Establishment!$B$5:$B$5</definedName>
    <definedName name="death_loss">Main!$H$25</definedName>
    <definedName name="DEBT1">Main:Debt_Payments!$B$45:$J$190</definedName>
    <definedName name="DEBT2">Debt_Payments!$B$54:$K$68</definedName>
    <definedName name="dry_byproducts" localSheetId="13">Feed!#REF!</definedName>
    <definedName name="dry_byproducts" localSheetId="11">Feed!#REF!</definedName>
    <definedName name="dry_byproducts">Feed!#REF!</definedName>
    <definedName name="dry_grain" localSheetId="13">Feed!#REF!</definedName>
    <definedName name="dry_grain" localSheetId="11">Feed!#REF!</definedName>
    <definedName name="dry_grain">Feed!#REF!</definedName>
    <definedName name="dry_hay" localSheetId="13">Feed!#REF!</definedName>
    <definedName name="dry_hay" localSheetId="11">Feed!#REF!</definedName>
    <definedName name="dry_hay">Feed!#REF!</definedName>
    <definedName name="dry_minerals" localSheetId="13">Feed!#REF!</definedName>
    <definedName name="dry_minerals" localSheetId="11">Feed!#REF!</definedName>
    <definedName name="dry_minerals">Feed!#REF!</definedName>
    <definedName name="dry_pasture" localSheetId="13">Feed!#REF!</definedName>
    <definedName name="dry_pasture" localSheetId="11">Feed!#REF!</definedName>
    <definedName name="dry_pasture">Feed!#REF!</definedName>
    <definedName name="dry_silage" localSheetId="13">Feed!#REF!</definedName>
    <definedName name="dry_silage" localSheetId="11">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 localSheetId="13">PERMANENT_PASTURE!#REF!</definedName>
    <definedName name="exp_price" localSheetId="11">Bermuda_hay!#REF!</definedName>
    <definedName name="exp_price">Bermuda_hay!#REF!</definedName>
    <definedName name="exp_prod" localSheetId="13">PERMANENT_PASTURE!#REF!</definedName>
    <definedName name="exp_prod" localSheetId="11">Bermuda_hay!#REF!</definedName>
    <definedName name="exp_prod">Bermuda_hay!#REF!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 localSheetId="13">#REF!</definedName>
    <definedName name="GR_OP" localSheetId="11">#REF!</definedName>
    <definedName name="GR_OP">#REF!</definedName>
    <definedName name="GRAPH" localSheetId="13">#REF!</definedName>
    <definedName name="GRAPH" localSheetId="11">#REF!</definedName>
    <definedName name="GRAPH">#REF!</definedName>
    <definedName name="harvest_hrs" localSheetId="9">[3]harvest!$F$21</definedName>
    <definedName name="harvest_hrs">[4]harvest!$F$21</definedName>
    <definedName name="harvest_implement_FC" localSheetId="9">[3]harvest!$J$21</definedName>
    <definedName name="harvest_implement_FC">[4]harvest!$J$21</definedName>
    <definedName name="harvest_implement_info" localSheetId="9">[3]implmnts!$A$306:$AB$347</definedName>
    <definedName name="harvest_implement_info">[4]implmnts!$A$306:$AB$347</definedName>
    <definedName name="harvest_implement_list" localSheetId="9">[3]implmnts!$A$306:$A$347</definedName>
    <definedName name="harvest_implement_list">[4]implmnts!$A$306:$A$347</definedName>
    <definedName name="harvest_tractor_fc" localSheetId="9">[3]harvest!$R$21</definedName>
    <definedName name="harvest_tractor_fc">[4]harvest!$R$21</definedName>
    <definedName name="HAY_PRODUCTION" localSheetId="13">Bermuda_hay!$B$4</definedName>
    <definedName name="HAY_PRODUCTION">Bermuda_hay!$B$4</definedName>
    <definedName name="heifer_death">Main!$H$27</definedName>
    <definedName name="HEIFERS_RAISED">Main!$H$29</definedName>
    <definedName name="hfrs_grain" localSheetId="13">Feed!#REF!</definedName>
    <definedName name="hfrs_grain" localSheetId="11">Feed!#REF!</definedName>
    <definedName name="hfrs_grain">Feed!#REF!</definedName>
    <definedName name="hfrs_hay" localSheetId="13">Feed!#REF!</definedName>
    <definedName name="hfrs_hay" localSheetId="11">Feed!#REF!</definedName>
    <definedName name="hfrs_hay">Feed!#REF!</definedName>
    <definedName name="hfrs_pasture" localSheetId="13">Feed!#REF!</definedName>
    <definedName name="hfrs_pasture" localSheetId="11">Feed!#REF!</definedName>
    <definedName name="hfrs_pasture">Feed!#REF!</definedName>
    <definedName name="hfrs_silage" localSheetId="13">Feed!#REF!</definedName>
    <definedName name="hfrs_silage" localSheetId="11">Feed!#REF!</definedName>
    <definedName name="hfrs_silage">Feed!#REF!</definedName>
    <definedName name="hrfs_silage" localSheetId="13">Feed!#REF!</definedName>
    <definedName name="hrfs_silage" localSheetId="11">Feed!#REF!</definedName>
    <definedName name="hrfs_silage">Feed!#REF!</definedName>
    <definedName name="ht" localSheetId="13">#REF!</definedName>
    <definedName name="ht" localSheetId="9">#REF!</definedName>
    <definedName name="ht" localSheetId="11">#REF!</definedName>
    <definedName name="ht">#REF!</definedName>
    <definedName name="iir" localSheetId="13">Corn_silage!#REF!</definedName>
    <definedName name="iir" localSheetId="9">Sorghum_silage!#REF!</definedName>
    <definedName name="iir" localSheetId="11">Corn_silage!#REF!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13">Corn_silage!#REF!</definedName>
    <definedName name="ins_tax" localSheetId="9">Sorghum_silage!#REF!</definedName>
    <definedName name="ins_tax" localSheetId="11">Corn_silage!#REF!</definedName>
    <definedName name="ins_tax">Corn_silage!#REF!</definedName>
    <definedName name="insect_tot" localSheetId="9">'[3]Insect and Weed'!$F$25</definedName>
    <definedName name="insect_tot">'[4]Insect and Weed'!$F$25</definedName>
    <definedName name="INT_COST" localSheetId="13">#REF!</definedName>
    <definedName name="INT_COST" localSheetId="11">Winter_Grazing!#REF!</definedName>
    <definedName name="INT_COST" localSheetId="10">Winter_Silage!#REF!</definedName>
    <definedName name="INT_COST">#REF!</definedName>
    <definedName name="interval">Main!$H$17</definedName>
    <definedName name="INV_RATE">Fixed_Cost!$G$96</definedName>
    <definedName name="lactations">Main!$H$18</definedName>
    <definedName name="land_fc">Fixed_Cost!$F$101</definedName>
    <definedName name="land_int">Fixed_Cost!$F$100</definedName>
    <definedName name="land_inv">Fixed_Cost!$G$78</definedName>
    <definedName name="land_pmt">Fixed_Cost!$O$77</definedName>
    <definedName name="length" localSheetId="13">#REF!</definedName>
    <definedName name="length" localSheetId="9">#REF!</definedName>
    <definedName name="length" localSheetId="11">#REF!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Main!$H$19</definedName>
    <definedName name="milk_byproducts" localSheetId="13">Feed!#REF!</definedName>
    <definedName name="milk_byproducts" localSheetId="11">Feed!#REF!</definedName>
    <definedName name="milk_byproducts">Feed!#REF!</definedName>
    <definedName name="milk_grain" localSheetId="13">Feed!#REF!</definedName>
    <definedName name="milk_grain" localSheetId="11">Feed!#REF!</definedName>
    <definedName name="milk_grain">Feed!#REF!</definedName>
    <definedName name="milk_hay" localSheetId="13">Feed!#REF!</definedName>
    <definedName name="milk_hay" localSheetId="11">Feed!#REF!</definedName>
    <definedName name="milk_hay">Feed!#REF!</definedName>
    <definedName name="milk_minerals" localSheetId="13">Feed!#REF!</definedName>
    <definedName name="milk_minerals" localSheetId="11">Feed!#REF!</definedName>
    <definedName name="milk_minerals">Feed!#REF!</definedName>
    <definedName name="milk_pasture" localSheetId="13">Feed!#REF!</definedName>
    <definedName name="milk_pasture" localSheetId="11">Feed!#REF!</definedName>
    <definedName name="milk_pasture">Feed!#REF!</definedName>
    <definedName name="MILK_PRICE">Main!$H$21</definedName>
    <definedName name="MILK_PROD">Main!$H$19</definedName>
    <definedName name="MILK_SALES">Main!$H$23</definedName>
    <definedName name="milk_silage" localSheetId="13">Feed!#REF!</definedName>
    <definedName name="milk_silage" localSheetId="11">Feed!#REF!</definedName>
    <definedName name="milk_silage">Feed!#REF!</definedName>
    <definedName name="MNR">#N/A</definedName>
    <definedName name="MP">#N/A</definedName>
    <definedName name="MTC">#N/A</definedName>
    <definedName name="MTR">#N/A</definedName>
    <definedName name="MY">#N/A</definedName>
    <definedName name="NewMatrix1" localSheetId="13">Feed!#REF!</definedName>
    <definedName name="NewMatrix1" localSheetId="11">Feed!#REF!</definedName>
    <definedName name="NewMatrix1">Feed!#REF!</definedName>
    <definedName name="number" localSheetId="13">#REF!</definedName>
    <definedName name="number" localSheetId="9">#REF!</definedName>
    <definedName name="number" localSheetId="11">#REF!</definedName>
    <definedName name="number">#REF!</definedName>
    <definedName name="Pal_Workbook_GUID" hidden="1">"VRTZAD73XF2XMFSSW1JZQZEP"</definedName>
    <definedName name="PASTURE_YIELD">PERMANENT_PASTURE!$B$2</definedName>
    <definedName name="payroll_total">Payroll!$I$12</definedName>
    <definedName name="PERM_PASTURE_PRODUCTION">PERMANENT_PASTURE!$B$4</definedName>
    <definedName name="permanent_pasture_cost">PERMANENT_PASTURE!$G$23</definedName>
    <definedName name="PG">I!$W$20</definedName>
    <definedName name="PG_NO" localSheetId="13">#REF!</definedName>
    <definedName name="PG_NO" localSheetId="11">#REF!</definedName>
    <definedName name="PG_NO">#REF!</definedName>
    <definedName name="pre_harvest_implement_list" localSheetId="9">[3]implmnts!$A$5:$A$303</definedName>
    <definedName name="pre_harvest_implement_list">[4]implmnts!$A$5:$A$303</definedName>
    <definedName name="preharvest_hrs" localSheetId="9">[3]preharvest!$F$18</definedName>
    <definedName name="preharvest_hrs">[4]preharvest!$F$18</definedName>
    <definedName name="preharvest_impl_FC" localSheetId="9">[3]preharvest!$R$18</definedName>
    <definedName name="preharvest_impl_FC">[4]preharvest!$R$18</definedName>
    <definedName name="preharvest_implement_info" localSheetId="9">[3]implmnts!$A$5:$AB$303</definedName>
    <definedName name="preharvest_implement_info">[4]implmnts!$A$5:$AB$303</definedName>
    <definedName name="prehvst_fuel" localSheetId="9">[3]preharvest!$M$18</definedName>
    <definedName name="prehvst_fuel">[4]preharvest!$M$18</definedName>
    <definedName name="price" localSheetId="13">Corn_silage!#REF!</definedName>
    <definedName name="price" localSheetId="9">Sorghum_silage!#REF!</definedName>
    <definedName name="price" localSheetId="11">Corn_silage!#REF!</definedName>
    <definedName name="price">Corn_silage!#REF!</definedName>
    <definedName name="_xlnm.Print_Area" localSheetId="12">Bermuda_hay!$A$1:$H$24</definedName>
    <definedName name="_xlnm.Print_Area" localSheetId="8">Corn_silage!$A$1:$G$40</definedName>
    <definedName name="_xlnm.Print_Area" localSheetId="4">Feed!$C$1:$K$86</definedName>
    <definedName name="_xlnm.Print_Area" localSheetId="3">Fixed_Cost!$C$3:$O$107</definedName>
    <definedName name="_xlnm.Print_Area" localSheetId="2">Main!$B$3:$I$139</definedName>
    <definedName name="_xlnm.Print_Area" localSheetId="21">Payroll!$D$2:$I$12</definedName>
    <definedName name="_xlnm.Print_Area" localSheetId="13">PERMANENT_PASTURE!$A$1:$H$23</definedName>
    <definedName name="_xlnm.Print_Area" localSheetId="7">'Raised Summary'!$A$1:$H$19</definedName>
    <definedName name="_xlnm.Print_Area" localSheetId="9">Sorghum_silage!$A$1:$G$31</definedName>
    <definedName name="_xlnm.Print_Area" localSheetId="11">Winter_Grazing!$A$1:$F$29</definedName>
    <definedName name="_xlnm.Print_Area" localSheetId="10">Winter_Silage!$A$1:$F$35</definedName>
    <definedName name="_xlnm.Print_Titles" localSheetId="3">Fixed_Cost!$3:$4</definedName>
    <definedName name="PRINTIT">I!$W$36</definedName>
    <definedName name="PRINTONE" localSheetId="13">#REF!</definedName>
    <definedName name="PRINTONE" localSheetId="11">#REF!</definedName>
    <definedName name="PRINTONE">#REF!</definedName>
    <definedName name="PRINTOP">I!$W$41</definedName>
    <definedName name="PRINTTHREE">I!$W$35</definedName>
    <definedName name="PRINTTWO" localSheetId="13">#REF!</definedName>
    <definedName name="PRINTTWO" localSheetId="11">#REF!</definedName>
    <definedName name="PRINTTWO">#REF!</definedName>
    <definedName name="RISK">#N/A</definedName>
    <definedName name="RiskMultipleCPUSupportEnabled" hidden="1">TRUE</definedName>
    <definedName name="ROLLING">Main!#REF!</definedName>
    <definedName name="silage_dm_price">Feed!$G$3</definedName>
    <definedName name="sold">Main!$D$25</definedName>
    <definedName name="SORGHUM_PRODUCTION">Sorghum_silage!$B$6</definedName>
    <definedName name="sorghum_sialge_bred_hfrs">Feed!$K$54</definedName>
    <definedName name="sorghum_sil_dry">Feed!$K$34</definedName>
    <definedName name="sorghum_yield">Sorghum_silage!$B$4</definedName>
    <definedName name="SPINVAL" localSheetId="12">#REF!</definedName>
    <definedName name="SPINVAL" localSheetId="13">#REF!</definedName>
    <definedName name="SPINVAL">I!$W$18</definedName>
    <definedName name="sprayer_data" localSheetId="9">[3]self_propelled!$A$13:$Z$19</definedName>
    <definedName name="sprayer_data">[4]self_propelled!$A$13:$Z$19</definedName>
    <definedName name="sprayer_fc" localSheetId="9">[3]preharvest!$L$27</definedName>
    <definedName name="sprayer_fc">[4]preharvest!$L$27</definedName>
    <definedName name="sprayer_fuel" localSheetId="9">[3]preharvest!$H$27</definedName>
    <definedName name="sprayer_fuel">[4]preharvest!$H$27</definedName>
    <definedName name="sprayer_list" localSheetId="9">[3]self_propelled!$A$13:$A$19</definedName>
    <definedName name="sprayer_list">[4]self_propelled!$A$13:$A$19</definedName>
    <definedName name="sprayer_rprs" localSheetId="9">[3]preharvest!$J$27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13">Corn_silage!#REF!</definedName>
    <definedName name="TC" localSheetId="9">Sorghum_silage!#REF!</definedName>
    <definedName name="TC" localSheetId="11">Corn_silage!#REF!</definedName>
    <definedName name="TC">Corn_silage!#REF!</definedName>
    <definedName name="TEP">#N/A</definedName>
    <definedName name="TFC" localSheetId="8">Corn_silage!#REF!</definedName>
    <definedName name="TFC" localSheetId="9">Sorghum_silage!#REF!</definedName>
    <definedName name="tfc">Main!$H$91</definedName>
    <definedName name="TITLE1">#N/A</definedName>
    <definedName name="TITLE2">#N/A</definedName>
    <definedName name="TITLE3">#N/A</definedName>
    <definedName name="TITLE4">#N/A</definedName>
    <definedName name="TOP">#N/A</definedName>
    <definedName name="TOTAL" localSheetId="13">#REF!</definedName>
    <definedName name="TOTAL" localSheetId="11">#REF!</definedName>
    <definedName name="TOTAL">#REF!</definedName>
    <definedName name="total_feed">Main!$F$121</definedName>
    <definedName name="TOTAL_FIXED_COSTS" localSheetId="12">[1]Fixed_Cost!$I$30</definedName>
    <definedName name="TOTAL_FIXED_COSTS" localSheetId="13">[1]Fixed_Cost!$I$30</definedName>
    <definedName name="total_fixed_costs" localSheetId="11">Winter_Grazing!#REF!</definedName>
    <definedName name="total_fixed_costs" localSheetId="10">Winter_Silage!#REF!</definedName>
    <definedName name="total_fixed_costs">#REF!</definedName>
    <definedName name="TOTAL_INV">Fixed_Cost!$G$74</definedName>
    <definedName name="TOTAL_MILK_PROD">Main!$H$20</definedName>
    <definedName name="total_monthly_milk_prod">Monthly_Milk!$B$15</definedName>
    <definedName name="total_monthly_rev">Monthly_Milk!$D$15</definedName>
    <definedName name="TOTAL_OPS_COST" localSheetId="13">#REF!</definedName>
    <definedName name="TOTAL_OPS_COST" localSheetId="11">Winter_Grazing!#REF!</definedName>
    <definedName name="TOTAL_OPS_COST" localSheetId="10">Winter_Silage!$E$27</definedName>
    <definedName name="TOTAL_OPS_COST">#REF!</definedName>
    <definedName name="TOTAL_PAYMENTS">[1]Fixed_Payment!$I$39</definedName>
    <definedName name="TOTAL_PMT">Debt_Payments!$F$68</definedName>
    <definedName name="TOTAL_PRODUCTION">Bermuda_hay!$B$4</definedName>
    <definedName name="total_rev">Main!$I$106</definedName>
    <definedName name="TOTAL_VARIABLE_COST" localSheetId="13">#REF!</definedName>
    <definedName name="TOTAL_VARIABLE_COST" localSheetId="11">#REF!</definedName>
    <definedName name="TOTAL_VARIABLE_COST">#REF!</definedName>
    <definedName name="TOTFORMAT" localSheetId="13">#REF!</definedName>
    <definedName name="TOTFORMAT" localSheetId="11">#REF!</definedName>
    <definedName name="TOTFORMAT">#REF!</definedName>
    <definedName name="tractor_combine_data" localSheetId="9">[3]tractors!$A$3:$W$32</definedName>
    <definedName name="tractor_combine_data">[4]tractors!$A$3:$W$32</definedName>
    <definedName name="tractor_combine_list" localSheetId="9">[3]tractors!$A$3:$A$37</definedName>
    <definedName name="tractor_combine_list">[4]tractors!$A$3:$A$37</definedName>
    <definedName name="tractor_dep">Fixed_Cost!$J$74</definedName>
    <definedName name="tractor_list">[5]tractors!$A$2:$A$19</definedName>
    <definedName name="TVC" localSheetId="8">Corn_silage!$E$34</definedName>
    <definedName name="tvc_milk_production">Main!$H$80</definedName>
    <definedName name="tvc_sorghum">Sorghum_silage!$E$31</definedName>
    <definedName name="UN">I!$T$6</definedName>
    <definedName name="unalloc_labor" localSheetId="13">Corn_silage!#REF!</definedName>
    <definedName name="unalloc_labor" localSheetId="9">Sorghum_silage!#REF!</definedName>
    <definedName name="unalloc_labor" localSheetId="11">Corn_silage!#REF!</definedName>
    <definedName name="unalloc_labor">Corn_silage!#REF!</definedName>
    <definedName name="UNIT">#N/A</definedName>
    <definedName name="UNITCOST">#N/A</definedName>
    <definedName name="VARCOST">#N/A</definedName>
    <definedName name="VARFORMAT" localSheetId="13">#REF!</definedName>
    <definedName name="VARFORMAT" localSheetId="11">#REF!</definedName>
    <definedName name="VARFORMAT">#REF!</definedName>
    <definedName name="VARIABLE" localSheetId="13">#REF!</definedName>
    <definedName name="VARIABLE" localSheetId="11">#REF!</definedName>
    <definedName name="VARIABLE">#REF!</definedName>
    <definedName name="VIEW" localSheetId="13">#REF!</definedName>
    <definedName name="VIEW" localSheetId="11">#REF!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9">'[3]Insect and Weed'!$F$11</definedName>
    <definedName name="WEED_TOT">'[4]Insect and Weed'!$F$11</definedName>
    <definedName name="WGPC">#N/A</definedName>
    <definedName name="width" localSheetId="13">#REF!</definedName>
    <definedName name="width" localSheetId="9">#REF!</definedName>
    <definedName name="width" localSheetId="11">#REF!</definedName>
    <definedName name="width">#REF!</definedName>
    <definedName name="winter_ann_sil_milking">Feed!$K$11</definedName>
    <definedName name="WINTER_ANNUAL_COST" localSheetId="11">Winter_Silage!$E$27</definedName>
    <definedName name="WINTER_ANNUAL_COST">Winter_Silage!$E$35</definedName>
    <definedName name="WINTER_ANNUAL_PRODUCTION" localSheetId="11">Winter_Silage!$B$5</definedName>
    <definedName name="WINTER_ANNUAL_PRODUCTION">Winter_Silage!$B$5</definedName>
    <definedName name="winter_annual_silage_price">Feed!$G$4</definedName>
    <definedName name="WINTER_ANNUAL_YIELD" localSheetId="11">Winter_Silage!$B$3</definedName>
    <definedName name="WINTER_ANNUAL_YIELD">Winter_Silage!$B$3</definedName>
    <definedName name="WINTER_GRAZING_COST">Winter_Grazing!$E$27</definedName>
    <definedName name="winter_grazing_production">Winter_Grazing!$B$5</definedName>
    <definedName name="Winter_grz_yld">Winter_Grazing!$B$3</definedName>
    <definedName name="XTWO" localSheetId="13">#REF!</definedName>
    <definedName name="XTWO" localSheetId="11">#REF!</definedName>
    <definedName name="XTWO">#REF!</definedName>
    <definedName name="years">[1]Establishment!$C$3</definedName>
    <definedName name="yield" localSheetId="9">Sorghum_silage!$B$4</definedName>
    <definedName name="yield">Corn_silage!$B$4</definedName>
    <definedName name="YONE" localSheetId="13">#REF!</definedName>
    <definedName name="YONE" localSheetId="11">#REF!</definedName>
    <definedName name="YONE">#REF!</definedName>
    <definedName name="YTWO" localSheetId="13">#REF!</definedName>
    <definedName name="YTWO" localSheetId="11">#REF!</definedName>
    <definedName name="YTWO">#REF!</definedName>
    <definedName name="ZONE" localSheetId="13">#REF!</definedName>
    <definedName name="ZONE" localSheetId="11">#REF!</definedName>
    <definedName name="ZONE">#REF!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18" i="1" l="1"/>
  <c r="H19" i="1"/>
  <c r="H20" i="1"/>
  <c r="G98" i="1"/>
  <c r="H98" i="1"/>
  <c r="I98" i="1"/>
  <c r="G99" i="1"/>
  <c r="I99" i="1"/>
  <c r="G100" i="1"/>
  <c r="H100" i="1"/>
  <c r="I100" i="1"/>
  <c r="G101" i="1"/>
  <c r="I101" i="1"/>
  <c r="I102" i="1"/>
  <c r="I103" i="1"/>
  <c r="I104" i="1"/>
  <c r="I105" i="1"/>
  <c r="I106" i="1"/>
  <c r="F35" i="1"/>
  <c r="H35" i="1"/>
  <c r="F36" i="1"/>
  <c r="H36" i="1"/>
  <c r="F37" i="1"/>
  <c r="H37" i="1"/>
  <c r="F38" i="1"/>
  <c r="H38" i="1"/>
  <c r="B6" i="21"/>
  <c r="D47" i="26"/>
  <c r="H6" i="26"/>
  <c r="I6" i="26"/>
  <c r="H15" i="26"/>
  <c r="I15" i="26"/>
  <c r="H24" i="26"/>
  <c r="I24" i="26"/>
  <c r="H33" i="26"/>
  <c r="I33" i="26"/>
  <c r="C47" i="26"/>
  <c r="F47" i="26"/>
  <c r="F40" i="1"/>
  <c r="H40" i="1"/>
  <c r="B6" i="22"/>
  <c r="D48" i="26"/>
  <c r="H7" i="26"/>
  <c r="I7" i="26"/>
  <c r="H16" i="26"/>
  <c r="I16" i="26"/>
  <c r="H25" i="26"/>
  <c r="I25" i="26"/>
  <c r="H34" i="26"/>
  <c r="I34" i="26"/>
  <c r="C48" i="26"/>
  <c r="F48" i="26"/>
  <c r="F41" i="1"/>
  <c r="H41" i="1"/>
  <c r="B5" i="24"/>
  <c r="D49" i="26"/>
  <c r="H8" i="26"/>
  <c r="I8" i="26"/>
  <c r="H17" i="26"/>
  <c r="I17" i="26"/>
  <c r="H26" i="26"/>
  <c r="I26" i="26"/>
  <c r="H35" i="26"/>
  <c r="I35" i="26"/>
  <c r="C49" i="26"/>
  <c r="F49" i="26"/>
  <c r="F42" i="1"/>
  <c r="H42" i="1"/>
  <c r="B4" i="25"/>
  <c r="D50" i="26"/>
  <c r="H9" i="26"/>
  <c r="I9" i="26"/>
  <c r="H18" i="26"/>
  <c r="F18" i="26"/>
  <c r="I18" i="26"/>
  <c r="H27" i="26"/>
  <c r="I27" i="26"/>
  <c r="H36" i="26"/>
  <c r="I36" i="26"/>
  <c r="C50" i="26"/>
  <c r="F50" i="26"/>
  <c r="F43" i="1"/>
  <c r="H43" i="1"/>
  <c r="H10" i="26"/>
  <c r="I10" i="26"/>
  <c r="H19" i="26"/>
  <c r="I19" i="26"/>
  <c r="H28" i="26"/>
  <c r="I28" i="26"/>
  <c r="H37" i="26"/>
  <c r="I37" i="26"/>
  <c r="C51" i="26"/>
  <c r="F51" i="26"/>
  <c r="F44" i="1"/>
  <c r="H44" i="1"/>
  <c r="H11" i="26"/>
  <c r="I11" i="26"/>
  <c r="H20" i="26"/>
  <c r="F20" i="26"/>
  <c r="I20" i="26"/>
  <c r="H29" i="26"/>
  <c r="I29" i="26"/>
  <c r="H38" i="26"/>
  <c r="I38" i="26"/>
  <c r="C52" i="26"/>
  <c r="F52" i="26"/>
  <c r="F45" i="1"/>
  <c r="H45" i="1"/>
  <c r="H12" i="26"/>
  <c r="I12" i="26"/>
  <c r="H21" i="26"/>
  <c r="F21" i="26"/>
  <c r="I21" i="26"/>
  <c r="H30" i="26"/>
  <c r="I30" i="26"/>
  <c r="H39" i="26"/>
  <c r="I39" i="26"/>
  <c r="C53" i="26"/>
  <c r="F53" i="26"/>
  <c r="F46" i="1"/>
  <c r="H46" i="1"/>
  <c r="H41" i="26"/>
  <c r="I41" i="26"/>
  <c r="F47" i="1"/>
  <c r="H47" i="1"/>
  <c r="H42" i="26"/>
  <c r="I42" i="26"/>
  <c r="F48" i="1"/>
  <c r="H48" i="1"/>
  <c r="H43" i="26"/>
  <c r="I43" i="26"/>
  <c r="F49" i="1"/>
  <c r="H49" i="1"/>
  <c r="H39" i="1"/>
  <c r="F50" i="1"/>
  <c r="H50" i="1"/>
  <c r="F52" i="1"/>
  <c r="B3" i="27"/>
  <c r="E29" i="21"/>
  <c r="E30" i="21"/>
  <c r="E31" i="21"/>
  <c r="E32" i="21"/>
  <c r="E33" i="21"/>
  <c r="E9" i="21"/>
  <c r="E10" i="21"/>
  <c r="E12" i="21"/>
  <c r="E13" i="21"/>
  <c r="E14" i="21"/>
  <c r="E15" i="21"/>
  <c r="E16" i="21"/>
  <c r="E18" i="21"/>
  <c r="E19" i="21"/>
  <c r="E20" i="21"/>
  <c r="E21" i="21"/>
  <c r="E22" i="21"/>
  <c r="E23" i="21"/>
  <c r="E24" i="21"/>
  <c r="E25" i="21"/>
  <c r="E26" i="21"/>
  <c r="E34" i="21"/>
  <c r="B7" i="21"/>
  <c r="B5" i="27"/>
  <c r="B8" i="27"/>
  <c r="B9" i="27"/>
  <c r="B10" i="27"/>
  <c r="B11" i="27"/>
  <c r="G52" i="1"/>
  <c r="H52" i="1"/>
  <c r="F53" i="1"/>
  <c r="C3" i="27"/>
  <c r="E26" i="22"/>
  <c r="E27" i="22"/>
  <c r="E28" i="22"/>
  <c r="E29" i="22"/>
  <c r="E30" i="22"/>
  <c r="E9" i="22"/>
  <c r="E10" i="22"/>
  <c r="E12" i="22"/>
  <c r="E13" i="22"/>
  <c r="E14" i="22"/>
  <c r="E15" i="22"/>
  <c r="E16" i="22"/>
  <c r="E18" i="22"/>
  <c r="E19" i="22"/>
  <c r="E20" i="22"/>
  <c r="E21" i="22"/>
  <c r="E22" i="22"/>
  <c r="E23" i="22"/>
  <c r="E31" i="22"/>
  <c r="B7" i="22"/>
  <c r="C5" i="27"/>
  <c r="C8" i="27"/>
  <c r="C9" i="27"/>
  <c r="C10" i="27"/>
  <c r="C11" i="27"/>
  <c r="G53" i="1"/>
  <c r="H53" i="1"/>
  <c r="F54" i="1"/>
  <c r="D3" i="27"/>
  <c r="E30" i="24"/>
  <c r="E31" i="24"/>
  <c r="E32" i="24"/>
  <c r="E33" i="24"/>
  <c r="E34" i="24"/>
  <c r="E10" i="24"/>
  <c r="E11" i="24"/>
  <c r="E12" i="24"/>
  <c r="E13" i="24"/>
  <c r="E15" i="24"/>
  <c r="E16" i="24"/>
  <c r="E17" i="24"/>
  <c r="E18" i="24"/>
  <c r="E20" i="24"/>
  <c r="E22" i="24"/>
  <c r="E24" i="24"/>
  <c r="E25" i="24"/>
  <c r="E26" i="24"/>
  <c r="E27" i="24"/>
  <c r="E35" i="24"/>
  <c r="B6" i="24"/>
  <c r="D5" i="27"/>
  <c r="D8" i="27"/>
  <c r="D9" i="27"/>
  <c r="D10" i="27"/>
  <c r="D11" i="27"/>
  <c r="G54" i="1"/>
  <c r="H54" i="1"/>
  <c r="F55" i="1"/>
  <c r="F3" i="27"/>
  <c r="E10" i="28"/>
  <c r="E11" i="28"/>
  <c r="E12" i="28"/>
  <c r="E13" i="28"/>
  <c r="E15" i="28"/>
  <c r="E16" i="28"/>
  <c r="E17" i="28"/>
  <c r="E18" i="28"/>
  <c r="E20" i="28"/>
  <c r="E22" i="28"/>
  <c r="E24" i="28"/>
  <c r="E25" i="28"/>
  <c r="E26" i="28"/>
  <c r="E27" i="28"/>
  <c r="B6" i="28"/>
  <c r="F5" i="27"/>
  <c r="F8" i="27"/>
  <c r="F9" i="27"/>
  <c r="F10" i="27"/>
  <c r="F11" i="27"/>
  <c r="G55" i="1"/>
  <c r="H55" i="1"/>
  <c r="F56" i="1"/>
  <c r="E3" i="27"/>
  <c r="G8" i="25"/>
  <c r="G10" i="25"/>
  <c r="G11" i="25"/>
  <c r="G12" i="25"/>
  <c r="G14" i="25"/>
  <c r="G15" i="25"/>
  <c r="E17" i="25"/>
  <c r="G17" i="25"/>
  <c r="F18" i="25"/>
  <c r="G18" i="25"/>
  <c r="G19" i="25"/>
  <c r="E20" i="25"/>
  <c r="G20" i="25"/>
  <c r="G21" i="25"/>
  <c r="G22" i="25"/>
  <c r="G23" i="25"/>
  <c r="G24" i="25"/>
  <c r="B5" i="25"/>
  <c r="E5" i="27"/>
  <c r="E8" i="27"/>
  <c r="E9" i="27"/>
  <c r="E10" i="27"/>
  <c r="E11" i="27"/>
  <c r="G56" i="1"/>
  <c r="H56" i="1"/>
  <c r="H51" i="1"/>
  <c r="F57" i="1"/>
  <c r="G3" i="27"/>
  <c r="G8" i="29"/>
  <c r="G10" i="29"/>
  <c r="G11" i="29"/>
  <c r="G12" i="29"/>
  <c r="G13" i="29"/>
  <c r="G15" i="29"/>
  <c r="G16" i="29"/>
  <c r="G18" i="29"/>
  <c r="G20" i="29"/>
  <c r="G21" i="29"/>
  <c r="G22" i="29"/>
  <c r="G23" i="29"/>
  <c r="B5" i="29"/>
  <c r="G5" i="27"/>
  <c r="G8" i="27"/>
  <c r="G9" i="27"/>
  <c r="G10" i="27"/>
  <c r="G11" i="27"/>
  <c r="G57" i="1"/>
  <c r="H57" i="1"/>
  <c r="H58" i="1"/>
  <c r="H8" i="27"/>
  <c r="H59" i="1"/>
  <c r="H60" i="1"/>
  <c r="H9" i="27"/>
  <c r="H61" i="1"/>
  <c r="G28" i="2"/>
  <c r="H13" i="2"/>
  <c r="H14" i="2"/>
  <c r="H15" i="2"/>
  <c r="H16" i="2"/>
  <c r="H17" i="2"/>
  <c r="H18" i="2"/>
  <c r="H19" i="2"/>
  <c r="H20" i="2"/>
  <c r="H21" i="2"/>
  <c r="H22" i="2"/>
  <c r="H23" i="2"/>
  <c r="H24" i="2"/>
  <c r="H25" i="2"/>
  <c r="H28" i="2"/>
  <c r="F87" i="2"/>
  <c r="G43" i="2"/>
  <c r="H31" i="2"/>
  <c r="H32" i="2"/>
  <c r="H33" i="2"/>
  <c r="H34" i="2"/>
  <c r="H35" i="2"/>
  <c r="H36" i="2"/>
  <c r="H37" i="2"/>
  <c r="H38" i="2"/>
  <c r="H39" i="2"/>
  <c r="H40" i="2"/>
  <c r="H41" i="2"/>
  <c r="H42" i="2"/>
  <c r="H43" i="2"/>
  <c r="F91" i="2"/>
  <c r="F62" i="1"/>
  <c r="H62" i="1"/>
  <c r="H63" i="1"/>
  <c r="F64" i="1"/>
  <c r="H64" i="1"/>
  <c r="F65" i="1"/>
  <c r="H65" i="1"/>
  <c r="H66" i="1"/>
  <c r="F68" i="1"/>
  <c r="H68" i="1"/>
  <c r="F69" i="1"/>
  <c r="H69" i="1"/>
  <c r="H70" i="1"/>
  <c r="H71" i="1"/>
  <c r="H72" i="1"/>
  <c r="H73" i="1"/>
  <c r="F74" i="1"/>
  <c r="H74" i="1"/>
  <c r="I4" i="16"/>
  <c r="H5" i="16"/>
  <c r="I5" i="16"/>
  <c r="I6" i="16"/>
  <c r="I7" i="16"/>
  <c r="I8" i="16"/>
  <c r="I9" i="16"/>
  <c r="I10" i="16"/>
  <c r="I11" i="16"/>
  <c r="I12" i="16"/>
  <c r="G75" i="1"/>
  <c r="H75" i="1"/>
  <c r="H76" i="1"/>
  <c r="H77" i="1"/>
  <c r="H78" i="1"/>
  <c r="H79" i="1"/>
  <c r="H80" i="1"/>
  <c r="F115" i="1"/>
  <c r="F124" i="1"/>
  <c r="F116" i="1"/>
  <c r="F117" i="1"/>
  <c r="B83" i="1"/>
  <c r="G6" i="2"/>
  <c r="H28" i="1"/>
  <c r="E7" i="2"/>
  <c r="G7" i="2"/>
  <c r="G8" i="2"/>
  <c r="G9" i="2"/>
  <c r="G10" i="2"/>
  <c r="F83" i="2"/>
  <c r="H6" i="2"/>
  <c r="I6" i="2"/>
  <c r="J6" i="2"/>
  <c r="H7" i="2"/>
  <c r="I7" i="2"/>
  <c r="J7" i="2"/>
  <c r="J10" i="2"/>
  <c r="F85" i="2"/>
  <c r="J13" i="2"/>
  <c r="J14" i="2"/>
  <c r="J15" i="2"/>
  <c r="J16" i="2"/>
  <c r="J17" i="2"/>
  <c r="J18" i="2"/>
  <c r="J19" i="2"/>
  <c r="J20" i="2"/>
  <c r="J21" i="2"/>
  <c r="J22" i="2"/>
  <c r="J23" i="2"/>
  <c r="J24" i="2"/>
  <c r="J25" i="2"/>
  <c r="J28" i="2"/>
  <c r="F89" i="2"/>
  <c r="J31" i="2"/>
  <c r="J32" i="2"/>
  <c r="J33" i="2"/>
  <c r="J34" i="2"/>
  <c r="J35" i="2"/>
  <c r="J36" i="2"/>
  <c r="J37" i="2"/>
  <c r="J38" i="2"/>
  <c r="J39" i="2"/>
  <c r="J40" i="2"/>
  <c r="J41" i="2"/>
  <c r="J42" i="2"/>
  <c r="J43" i="2"/>
  <c r="F93"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77" i="2"/>
  <c r="F99" i="2"/>
  <c r="F101" i="2"/>
  <c r="F103" i="2"/>
  <c r="F83" i="1"/>
  <c r="H83" i="1"/>
  <c r="H84" i="1"/>
  <c r="H85" i="1"/>
  <c r="H86" i="1"/>
  <c r="H87" i="1"/>
  <c r="H88" i="1"/>
  <c r="H89" i="1"/>
  <c r="F90" i="1"/>
  <c r="H90" i="1"/>
  <c r="H91" i="1"/>
  <c r="F118" i="1"/>
  <c r="F119" i="1"/>
  <c r="F125" i="1"/>
  <c r="B5" i="28"/>
  <c r="B4" i="29"/>
  <c r="D46" i="26"/>
  <c r="H5" i="26"/>
  <c r="I5" i="26"/>
  <c r="H14" i="26"/>
  <c r="F14" i="26"/>
  <c r="I14" i="26"/>
  <c r="H23" i="26"/>
  <c r="I23" i="26"/>
  <c r="H32" i="26"/>
  <c r="I32" i="26"/>
  <c r="C46" i="26"/>
  <c r="F46" i="26"/>
  <c r="D102" i="1"/>
  <c r="I48" i="1"/>
  <c r="H13" i="27"/>
  <c r="C23" i="31"/>
  <c r="D14" i="31"/>
  <c r="D13" i="31"/>
  <c r="D12" i="31"/>
  <c r="D11" i="31"/>
  <c r="D10" i="31"/>
  <c r="D9" i="31"/>
  <c r="D8" i="31"/>
  <c r="D7" i="31"/>
  <c r="D6" i="31"/>
  <c r="D5" i="31"/>
  <c r="D4" i="31"/>
  <c r="D3" i="31"/>
  <c r="B16" i="31"/>
  <c r="D15" i="31"/>
  <c r="B15" i="31"/>
  <c r="F12" i="24"/>
  <c r="F15" i="24"/>
  <c r="F17" i="24"/>
  <c r="F20" i="24"/>
  <c r="F24" i="24"/>
  <c r="F26" i="24"/>
  <c r="H11" i="29"/>
  <c r="H8" i="29"/>
  <c r="G4" i="27"/>
  <c r="F4" i="27"/>
  <c r="E4" i="27"/>
  <c r="D4" i="27"/>
  <c r="F13" i="22"/>
  <c r="F12" i="21"/>
  <c r="B4" i="27"/>
  <c r="L6" i="2"/>
  <c r="O6" i="2"/>
  <c r="L8" i="2"/>
  <c r="O8" i="2"/>
  <c r="L9" i="2"/>
  <c r="O9" i="2"/>
  <c r="L13" i="2"/>
  <c r="O13" i="2"/>
  <c r="L14" i="2"/>
  <c r="O14" i="2"/>
  <c r="L15" i="2"/>
  <c r="O15" i="2"/>
  <c r="L16" i="2"/>
  <c r="O16" i="2"/>
  <c r="L17" i="2"/>
  <c r="O17" i="2"/>
  <c r="L18" i="2"/>
  <c r="O18" i="2"/>
  <c r="L19" i="2"/>
  <c r="O19" i="2"/>
  <c r="L20" i="2"/>
  <c r="O20" i="2"/>
  <c r="L21" i="2"/>
  <c r="O21" i="2"/>
  <c r="L22" i="2"/>
  <c r="O22" i="2"/>
  <c r="L23" i="2"/>
  <c r="O23" i="2"/>
  <c r="L24" i="2"/>
  <c r="O24" i="2"/>
  <c r="L25" i="2"/>
  <c r="O25" i="2"/>
  <c r="L31" i="2"/>
  <c r="O31" i="2"/>
  <c r="L32" i="2"/>
  <c r="O32" i="2"/>
  <c r="L33" i="2"/>
  <c r="O33" i="2"/>
  <c r="L34" i="2"/>
  <c r="O34" i="2"/>
  <c r="L35" i="2"/>
  <c r="O35" i="2"/>
  <c r="L36" i="2"/>
  <c r="O36" i="2"/>
  <c r="L37" i="2"/>
  <c r="O37" i="2"/>
  <c r="L38" i="2"/>
  <c r="O38" i="2"/>
  <c r="L39" i="2"/>
  <c r="O39" i="2"/>
  <c r="L40" i="2"/>
  <c r="O40" i="2"/>
  <c r="L41" i="2"/>
  <c r="O41" i="2"/>
  <c r="L42" i="2"/>
  <c r="O42" i="2"/>
  <c r="L46" i="2"/>
  <c r="O46" i="2"/>
  <c r="L47" i="2"/>
  <c r="O47" i="2"/>
  <c r="L48" i="2"/>
  <c r="O48" i="2"/>
  <c r="L49" i="2"/>
  <c r="O49" i="2"/>
  <c r="L50" i="2"/>
  <c r="O50" i="2"/>
  <c r="L51" i="2"/>
  <c r="O51" i="2"/>
  <c r="L52" i="2"/>
  <c r="O52" i="2"/>
  <c r="L53" i="2"/>
  <c r="O53" i="2"/>
  <c r="L54" i="2"/>
  <c r="O54" i="2"/>
  <c r="L55" i="2"/>
  <c r="O55" i="2"/>
  <c r="L56" i="2"/>
  <c r="O56" i="2"/>
  <c r="L57" i="2"/>
  <c r="O57" i="2"/>
  <c r="L59" i="2"/>
  <c r="O59" i="2"/>
  <c r="L61" i="2"/>
  <c r="O61" i="2"/>
  <c r="L63" i="2"/>
  <c r="O63" i="2"/>
  <c r="L65" i="2"/>
  <c r="O65" i="2"/>
  <c r="L67" i="2"/>
  <c r="O67" i="2"/>
  <c r="L69" i="2"/>
  <c r="O69" i="2"/>
  <c r="L71" i="2"/>
  <c r="O71" i="2"/>
  <c r="L73" i="2"/>
  <c r="O73" i="2"/>
  <c r="O78" i="2"/>
  <c r="I89" i="1"/>
  <c r="H8" i="2"/>
  <c r="F10" i="28"/>
  <c r="F11" i="28"/>
  <c r="F12" i="28"/>
  <c r="F15" i="28"/>
  <c r="F17" i="28"/>
  <c r="F26" i="28"/>
  <c r="F25" i="24"/>
  <c r="H15" i="29"/>
  <c r="H21" i="29"/>
  <c r="H11" i="25"/>
  <c r="H14" i="25"/>
  <c r="H15" i="25"/>
  <c r="H21" i="25"/>
  <c r="H23" i="25"/>
  <c r="H3" i="27"/>
  <c r="F32" i="24"/>
  <c r="F33" i="24"/>
  <c r="F29" i="22"/>
  <c r="F23" i="22"/>
  <c r="F15" i="22"/>
  <c r="F16" i="22"/>
  <c r="F20" i="22"/>
  <c r="F22" i="22"/>
  <c r="F14" i="21"/>
  <c r="F16" i="21"/>
  <c r="F19" i="21"/>
  <c r="F22" i="21"/>
  <c r="F31" i="21"/>
  <c r="C4" i="27"/>
  <c r="H15" i="27"/>
  <c r="I60" i="1"/>
  <c r="I65" i="1"/>
  <c r="I64" i="1"/>
  <c r="I82" i="1"/>
  <c r="H82" i="1"/>
  <c r="H23" i="1"/>
  <c r="H10" i="29"/>
  <c r="H12" i="29"/>
  <c r="H13" i="29"/>
  <c r="H16" i="29"/>
  <c r="H19" i="29"/>
  <c r="H20" i="29"/>
  <c r="H22" i="29"/>
  <c r="B11" i="1"/>
  <c r="L27" i="2"/>
  <c r="O27" i="2"/>
  <c r="J27" i="2"/>
  <c r="H27" i="2"/>
  <c r="L26" i="2"/>
  <c r="O26" i="2"/>
  <c r="J26" i="2"/>
  <c r="H26" i="2"/>
  <c r="I49" i="1"/>
  <c r="I78" i="1"/>
  <c r="I77" i="1"/>
  <c r="I67" i="1"/>
  <c r="B91" i="1"/>
  <c r="B90" i="1"/>
  <c r="B89" i="1"/>
  <c r="B88" i="1"/>
  <c r="B87" i="1"/>
  <c r="B86" i="1"/>
  <c r="B85" i="1"/>
  <c r="B84" i="1"/>
  <c r="I45" i="1"/>
  <c r="I47" i="1"/>
  <c r="I68" i="1"/>
  <c r="I69" i="1"/>
  <c r="I85" i="20"/>
  <c r="G82" i="20"/>
  <c r="I82" i="20"/>
  <c r="G83" i="20"/>
  <c r="I83" i="20"/>
  <c r="I84" i="20"/>
  <c r="J84" i="20"/>
  <c r="I74" i="1"/>
  <c r="I38" i="1"/>
  <c r="I58" i="1"/>
  <c r="I50" i="1"/>
  <c r="I66" i="1"/>
  <c r="I70" i="1"/>
  <c r="I71" i="1"/>
  <c r="I73" i="1"/>
  <c r="I75" i="1"/>
  <c r="F23" i="21"/>
  <c r="F24" i="21"/>
  <c r="H28" i="20"/>
  <c r="H19" i="25"/>
  <c r="H22" i="25"/>
  <c r="H20" i="25"/>
  <c r="H12" i="25"/>
  <c r="H10" i="25"/>
  <c r="F30" i="24"/>
  <c r="F22" i="24"/>
  <c r="F18" i="24"/>
  <c r="F16" i="24"/>
  <c r="F13" i="24"/>
  <c r="F11" i="24"/>
  <c r="F26" i="22"/>
  <c r="F28" i="22"/>
  <c r="F21" i="22"/>
  <c r="F19" i="22"/>
  <c r="F14" i="22"/>
  <c r="F12" i="22"/>
  <c r="F9" i="22"/>
  <c r="F8" i="22"/>
  <c r="F30" i="21"/>
  <c r="F32" i="21"/>
  <c r="F25" i="21"/>
  <c r="F21" i="21"/>
  <c r="F20" i="21"/>
  <c r="F18" i="21"/>
  <c r="F15" i="21"/>
  <c r="F13" i="21"/>
  <c r="F10" i="21"/>
  <c r="F9" i="21"/>
  <c r="F8" i="21"/>
  <c r="J35" i="20"/>
  <c r="K35" i="20"/>
  <c r="J55" i="20"/>
  <c r="K55" i="20"/>
  <c r="J69" i="20"/>
  <c r="K69" i="20"/>
  <c r="J13" i="20"/>
  <c r="K13" i="20"/>
  <c r="J37" i="20"/>
  <c r="K37" i="20"/>
  <c r="J57" i="20"/>
  <c r="K57" i="20"/>
  <c r="J71" i="20"/>
  <c r="K71" i="20"/>
  <c r="J70" i="20"/>
  <c r="K70" i="20"/>
  <c r="J34" i="20"/>
  <c r="K34" i="20"/>
  <c r="J54" i="20"/>
  <c r="K54" i="20"/>
  <c r="M4" i="20"/>
  <c r="O4" i="20"/>
  <c r="J10" i="20"/>
  <c r="K10" i="20"/>
  <c r="J33" i="20"/>
  <c r="K33" i="20"/>
  <c r="J53" i="20"/>
  <c r="K53" i="20"/>
  <c r="J68" i="20"/>
  <c r="K68"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J11" i="20"/>
  <c r="K11" i="20"/>
  <c r="M3" i="20"/>
  <c r="O3"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49" i="20"/>
  <c r="I29" i="20"/>
  <c r="G27" i="20"/>
  <c r="I27" i="20"/>
  <c r="G26" i="20"/>
  <c r="I26" i="20"/>
  <c r="G25" i="20"/>
  <c r="I25" i="20"/>
  <c r="G24" i="20"/>
  <c r="I24" i="20"/>
  <c r="G23" i="20"/>
  <c r="I23" i="20"/>
  <c r="G22" i="20"/>
  <c r="G21" i="20"/>
  <c r="I21" i="20"/>
  <c r="G20" i="20"/>
  <c r="I20" i="20"/>
  <c r="G19" i="20"/>
  <c r="I19" i="20"/>
  <c r="G18" i="20"/>
  <c r="G17" i="20"/>
  <c r="I17" i="20"/>
  <c r="G16" i="20"/>
  <c r="I16" i="20"/>
  <c r="G12" i="20"/>
  <c r="I12" i="20"/>
  <c r="G11" i="20"/>
  <c r="G10" i="20"/>
  <c r="I10" i="20"/>
  <c r="G47" i="20"/>
  <c r="I47" i="20"/>
  <c r="G46" i="20"/>
  <c r="I46" i="20"/>
  <c r="G45" i="20"/>
  <c r="G44" i="20"/>
  <c r="I44" i="20"/>
  <c r="G43" i="20"/>
  <c r="I43" i="20"/>
  <c r="G42" i="20"/>
  <c r="G36" i="20"/>
  <c r="I36" i="20"/>
  <c r="G35" i="20"/>
  <c r="I35" i="20"/>
  <c r="G34" i="20"/>
  <c r="I34" i="20"/>
  <c r="G33" i="20"/>
  <c r="I33" i="20"/>
  <c r="G62" i="20"/>
  <c r="G61" i="20"/>
  <c r="I61" i="20"/>
  <c r="G60" i="20"/>
  <c r="I60" i="20"/>
  <c r="G59" i="20"/>
  <c r="I59" i="20"/>
  <c r="G56" i="20"/>
  <c r="G55" i="20"/>
  <c r="G54" i="20"/>
  <c r="G53" i="20"/>
  <c r="I53" i="20"/>
  <c r="G76" i="20"/>
  <c r="I76" i="20"/>
  <c r="G75" i="20"/>
  <c r="I75" i="20"/>
  <c r="G74" i="20"/>
  <c r="I74" i="20"/>
  <c r="G69" i="20"/>
  <c r="I69" i="20"/>
  <c r="G68" i="20"/>
  <c r="I68" i="20"/>
  <c r="I54" i="20"/>
  <c r="I55" i="20"/>
  <c r="I56" i="20"/>
  <c r="I62" i="20"/>
  <c r="I42" i="20"/>
  <c r="I45" i="20"/>
  <c r="I11" i="20"/>
  <c r="I18" i="20"/>
  <c r="I22" i="20"/>
  <c r="B82" i="1"/>
  <c r="I76" i="1"/>
  <c r="E51" i="3"/>
  <c r="F51" i="3"/>
  <c r="G51" i="3"/>
  <c r="H16" i="3"/>
  <c r="H51" i="3"/>
  <c r="I51" i="3"/>
  <c r="G17" i="3"/>
  <c r="J16" i="3"/>
  <c r="K17" i="3"/>
  <c r="G16" i="3"/>
  <c r="G18" i="3"/>
  <c r="K18" i="3"/>
  <c r="G19" i="3"/>
  <c r="G20" i="3"/>
  <c r="G21" i="3"/>
  <c r="G22" i="3"/>
  <c r="H22" i="3"/>
  <c r="I22" i="3"/>
  <c r="J22" i="3"/>
  <c r="J24" i="3"/>
  <c r="G23" i="3"/>
  <c r="G24" i="3"/>
  <c r="H24" i="3"/>
  <c r="I24" i="3"/>
  <c r="K24" i="3"/>
  <c r="G25" i="3"/>
  <c r="G26" i="3"/>
  <c r="G27" i="3"/>
  <c r="G47" i="3"/>
  <c r="G46" i="3"/>
  <c r="G48" i="3"/>
  <c r="G42" i="3"/>
  <c r="E9" i="3"/>
  <c r="F9" i="3"/>
  <c r="F10" i="3"/>
  <c r="F11" i="3"/>
  <c r="F12" i="3"/>
  <c r="H10" i="3"/>
  <c r="J10" i="3"/>
  <c r="K10" i="3"/>
  <c r="H11" i="3"/>
  <c r="E11" i="3"/>
  <c r="G11" i="3"/>
  <c r="I11" i="3"/>
  <c r="J11" i="3"/>
  <c r="K11" i="3"/>
  <c r="L11" i="3"/>
  <c r="H12" i="3"/>
  <c r="J12" i="3"/>
  <c r="K12" i="3"/>
  <c r="E12" i="16"/>
  <c r="B118" i="1"/>
  <c r="H47" i="3"/>
  <c r="I47" i="3"/>
  <c r="K47" i="3"/>
  <c r="K46" i="3"/>
  <c r="K19" i="3"/>
  <c r="H19" i="3"/>
  <c r="I19" i="3"/>
  <c r="K20" i="3"/>
  <c r="K21" i="3"/>
  <c r="H21" i="3"/>
  <c r="I21" i="3"/>
  <c r="K23" i="3"/>
  <c r="K25" i="3"/>
  <c r="K26" i="3"/>
  <c r="K27" i="3"/>
  <c r="J61" i="3"/>
  <c r="J62" i="3"/>
  <c r="J63" i="3"/>
  <c r="J64" i="3"/>
  <c r="J65" i="3"/>
  <c r="AA61" i="3"/>
  <c r="AA62" i="3"/>
  <c r="AA63" i="3"/>
  <c r="AA64" i="3"/>
  <c r="H32" i="3"/>
  <c r="H36" i="3"/>
  <c r="I36" i="3"/>
  <c r="J36" i="3"/>
  <c r="H37" i="3"/>
  <c r="I37" i="3"/>
  <c r="J37" i="3"/>
  <c r="H38" i="3"/>
  <c r="I38" i="3"/>
  <c r="J38" i="3"/>
  <c r="K51" i="3"/>
  <c r="I79" i="1"/>
  <c r="AA60" i="3"/>
  <c r="H9" i="2"/>
  <c r="L43" i="2"/>
  <c r="I72" i="1"/>
  <c r="E12" i="3"/>
  <c r="G12" i="3"/>
  <c r="I12" i="3"/>
  <c r="L12" i="3"/>
  <c r="E10" i="3"/>
  <c r="G10" i="3"/>
  <c r="I10" i="3"/>
  <c r="L10" i="3"/>
  <c r="F38" i="20"/>
  <c r="F58" i="20"/>
  <c r="G58" i="20"/>
  <c r="I58" i="20"/>
  <c r="F39" i="20"/>
  <c r="G15" i="20"/>
  <c r="I15" i="20"/>
  <c r="F41" i="20"/>
  <c r="G41" i="20"/>
  <c r="I41" i="20"/>
  <c r="G13" i="20"/>
  <c r="I13" i="20"/>
  <c r="F37" i="20"/>
  <c r="F57" i="20"/>
  <c r="G57" i="20"/>
  <c r="I57" i="20"/>
  <c r="I64" i="20"/>
  <c r="I63" i="20"/>
  <c r="G38" i="20"/>
  <c r="I38" i="20"/>
  <c r="G14" i="20"/>
  <c r="I14" i="20"/>
  <c r="F40" i="20"/>
  <c r="G40" i="20"/>
  <c r="I40" i="20"/>
  <c r="F73" i="20"/>
  <c r="G73" i="20"/>
  <c r="I73" i="20"/>
  <c r="I63" i="1"/>
  <c r="F25" i="28"/>
  <c r="F22" i="28"/>
  <c r="F18" i="28"/>
  <c r="F16" i="28"/>
  <c r="F13" i="28"/>
  <c r="G28" i="3"/>
  <c r="I78" i="20"/>
  <c r="H4" i="27"/>
  <c r="I41" i="1"/>
  <c r="M5" i="20"/>
  <c r="O5" i="20"/>
  <c r="G9" i="3"/>
  <c r="G13" i="3"/>
  <c r="G52" i="3"/>
  <c r="M6" i="20"/>
  <c r="O6" i="20"/>
  <c r="F59" i="1"/>
  <c r="B14" i="27"/>
  <c r="F61" i="1"/>
  <c r="D14" i="27"/>
  <c r="C14" i="27"/>
  <c r="F14" i="27"/>
  <c r="G14" i="27"/>
  <c r="L22" i="3"/>
  <c r="F31" i="24"/>
  <c r="E14" i="27"/>
  <c r="I16" i="3"/>
  <c r="F20" i="28"/>
  <c r="F24" i="28"/>
  <c r="L28" i="2"/>
  <c r="J27" i="3"/>
  <c r="J26" i="3"/>
  <c r="H26" i="3"/>
  <c r="I26" i="3"/>
  <c r="L26" i="3"/>
  <c r="J25" i="3"/>
  <c r="J23" i="3"/>
  <c r="H23" i="3"/>
  <c r="I23" i="3"/>
  <c r="L23" i="3"/>
  <c r="H20" i="3"/>
  <c r="I20" i="3"/>
  <c r="H46" i="3"/>
  <c r="I46" i="3"/>
  <c r="J47" i="3"/>
  <c r="L47" i="3"/>
  <c r="H18" i="3"/>
  <c r="I18" i="3"/>
  <c r="J18" i="3"/>
  <c r="L18" i="3"/>
  <c r="H17" i="3"/>
  <c r="I17" i="3"/>
  <c r="J17" i="3"/>
  <c r="L17" i="3"/>
  <c r="F18" i="22"/>
  <c r="F10" i="22"/>
  <c r="H18" i="25"/>
  <c r="H8" i="25"/>
  <c r="H31" i="3"/>
  <c r="H39" i="3"/>
  <c r="I39" i="3"/>
  <c r="J34" i="3"/>
  <c r="H14" i="27"/>
  <c r="J31" i="3"/>
  <c r="J39" i="3"/>
  <c r="L39" i="3"/>
  <c r="F34" i="24"/>
  <c r="I28" i="20"/>
  <c r="J28" i="20"/>
  <c r="L38" i="3"/>
  <c r="L37" i="3"/>
  <c r="L36" i="3"/>
  <c r="I40" i="1"/>
  <c r="J19" i="3"/>
  <c r="L19" i="3"/>
  <c r="M2" i="20"/>
  <c r="O2" i="20"/>
  <c r="I44" i="1"/>
  <c r="H17" i="25"/>
  <c r="H24" i="25"/>
  <c r="L72" i="2"/>
  <c r="O72" i="2"/>
  <c r="L70" i="2"/>
  <c r="O70" i="2"/>
  <c r="L68" i="2"/>
  <c r="O68" i="2"/>
  <c r="L66" i="2"/>
  <c r="O66" i="2"/>
  <c r="L64" i="2"/>
  <c r="O64" i="2"/>
  <c r="L62" i="2"/>
  <c r="O62" i="2"/>
  <c r="L60" i="2"/>
  <c r="O60" i="2"/>
  <c r="L58" i="2"/>
  <c r="O28" i="2"/>
  <c r="L7" i="2"/>
  <c r="F10" i="24"/>
  <c r="H34" i="3"/>
  <c r="I34" i="3"/>
  <c r="L34" i="3"/>
  <c r="F70" i="20"/>
  <c r="G70" i="20"/>
  <c r="I70" i="20"/>
  <c r="G37" i="20"/>
  <c r="I37" i="20"/>
  <c r="I48" i="20"/>
  <c r="J51" i="3"/>
  <c r="J21" i="3"/>
  <c r="L21" i="3"/>
  <c r="J20" i="3"/>
  <c r="L20" i="3"/>
  <c r="I46" i="1"/>
  <c r="F27" i="22"/>
  <c r="F30" i="22"/>
  <c r="H18" i="29"/>
  <c r="H23" i="29"/>
  <c r="L77" i="2"/>
  <c r="O77" i="2"/>
  <c r="O7" i="2"/>
  <c r="O10" i="2"/>
  <c r="O58" i="2"/>
  <c r="O74" i="2"/>
  <c r="O43" i="2"/>
  <c r="O80" i="2"/>
  <c r="I88" i="1"/>
  <c r="I43" i="1"/>
  <c r="F26" i="21"/>
  <c r="I36" i="1"/>
  <c r="F27" i="28"/>
  <c r="F27" i="24"/>
  <c r="L74" i="2"/>
  <c r="I62" i="1"/>
  <c r="G80" i="2"/>
  <c r="L10" i="2"/>
  <c r="L80" i="2"/>
  <c r="D6" i="27"/>
  <c r="F35" i="24"/>
  <c r="I90" i="1"/>
  <c r="I54" i="1"/>
  <c r="B18" i="31"/>
  <c r="B17" i="31"/>
  <c r="G6" i="27"/>
  <c r="I57" i="1"/>
  <c r="H116" i="1"/>
  <c r="G116" i="1"/>
  <c r="L52" i="3"/>
  <c r="I55" i="1"/>
  <c r="F6" i="27"/>
  <c r="G61" i="1"/>
  <c r="I61" i="1"/>
  <c r="I59" i="1"/>
  <c r="G59" i="1"/>
  <c r="E6" i="27"/>
  <c r="I56" i="1"/>
  <c r="F31" i="22"/>
  <c r="I84" i="1"/>
  <c r="I42" i="1"/>
  <c r="I39" i="1"/>
  <c r="G39" i="20"/>
  <c r="I39" i="20"/>
  <c r="F72" i="20"/>
  <c r="G72" i="20"/>
  <c r="I72" i="20"/>
  <c r="I32" i="3"/>
  <c r="H40" i="3"/>
  <c r="I40" i="3"/>
  <c r="I48" i="3"/>
  <c r="L24" i="3"/>
  <c r="J32" i="3"/>
  <c r="I31" i="3"/>
  <c r="L16" i="3"/>
  <c r="J35" i="3"/>
  <c r="J33" i="3"/>
  <c r="I86" i="1"/>
  <c r="I9" i="3"/>
  <c r="F71" i="20"/>
  <c r="G71" i="20"/>
  <c r="I71" i="20"/>
  <c r="I77" i="20"/>
  <c r="J77" i="20"/>
  <c r="J66" i="3"/>
  <c r="F68" i="3"/>
  <c r="J46" i="3"/>
  <c r="L46" i="3"/>
  <c r="H27" i="3"/>
  <c r="H25" i="3"/>
  <c r="I35" i="1"/>
  <c r="I37" i="1"/>
  <c r="F29" i="21"/>
  <c r="I85" i="1"/>
  <c r="I25" i="3"/>
  <c r="H33" i="3"/>
  <c r="L31" i="3"/>
  <c r="J40" i="3"/>
  <c r="L40" i="3"/>
  <c r="L32" i="3"/>
  <c r="I53" i="1"/>
  <c r="C6" i="27"/>
  <c r="F33" i="21"/>
  <c r="I27" i="3"/>
  <c r="L27" i="3"/>
  <c r="H35" i="3"/>
  <c r="I35" i="3"/>
  <c r="L35" i="3"/>
  <c r="L9" i="3"/>
  <c r="I13" i="3"/>
  <c r="J41" i="3"/>
  <c r="I87" i="1"/>
  <c r="I33" i="3"/>
  <c r="H41" i="3"/>
  <c r="I41" i="3"/>
  <c r="L41" i="3"/>
  <c r="I83" i="1"/>
  <c r="I91" i="1"/>
  <c r="G16" i="27"/>
  <c r="E16" i="27"/>
  <c r="B16" i="27"/>
  <c r="D16" i="27"/>
  <c r="F16" i="27"/>
  <c r="C16" i="27"/>
  <c r="F34" i="21"/>
  <c r="L25" i="3"/>
  <c r="I28" i="3"/>
  <c r="H5" i="27"/>
  <c r="B6" i="27"/>
  <c r="G18" i="27"/>
  <c r="G19" i="27"/>
  <c r="G17" i="27"/>
  <c r="H118" i="1"/>
  <c r="G118" i="1"/>
  <c r="I42" i="3"/>
  <c r="I52" i="3"/>
  <c r="L33" i="3"/>
  <c r="F17" i="27"/>
  <c r="F18" i="27"/>
  <c r="F19" i="27"/>
  <c r="B17" i="27"/>
  <c r="B18" i="27"/>
  <c r="H16" i="27"/>
  <c r="C18" i="27"/>
  <c r="C19" i="27"/>
  <c r="C17" i="27"/>
  <c r="D17" i="27"/>
  <c r="D18" i="27"/>
  <c r="D19" i="27"/>
  <c r="E17" i="27"/>
  <c r="E18" i="27"/>
  <c r="E19" i="27"/>
  <c r="B19" i="27"/>
  <c r="H18" i="27"/>
  <c r="H10" i="27"/>
  <c r="H11" i="27"/>
  <c r="I52" i="1"/>
  <c r="F121" i="1"/>
  <c r="I51" i="1"/>
  <c r="I80" i="1"/>
  <c r="H121" i="1"/>
  <c r="F123" i="1"/>
  <c r="G121" i="1"/>
  <c r="H123" i="1"/>
  <c r="G123" i="1"/>
  <c r="H124" i="1"/>
  <c r="G124" i="1"/>
  <c r="G115" i="1"/>
  <c r="H115" i="1"/>
  <c r="H117" i="1"/>
  <c r="G117" i="1"/>
  <c r="G125" i="1"/>
  <c r="H125" i="1"/>
  <c r="G119" i="1"/>
  <c r="H1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 Lacy</author>
  </authors>
  <commentList>
    <comment ref="B71" authorId="0" shapeId="0" xr:uid="{00000000-0006-0000-0200-000001000000}">
      <text>
        <r>
          <rPr>
            <b/>
            <sz val="8"/>
            <color indexed="81"/>
            <rFont val="Tahoma"/>
            <family val="2"/>
          </rPr>
          <t>Use this item for leases lasting less than one year.  Leases longer than this should be included in the Fixed Cost section</t>
        </r>
      </text>
    </comment>
    <comment ref="B72" authorId="0" shapeId="0" xr:uid="{00000000-0006-0000-0200-00000200000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<sst xmlns="http://schemas.openxmlformats.org/spreadsheetml/2006/main" count="1461" uniqueCount="746">
  <si>
    <t xml:space="preserve"> </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</si>
  <si>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</si>
  <si>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</si>
  <si>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</si>
  <si>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</si>
  <si>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</si>
  <si>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</si>
  <si>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</si>
  <si>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</si>
  <si>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</si>
  <si>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</si>
  <si>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</si>
  <si>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</si>
  <si>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</si>
  <si>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</si>
  <si>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</si>
  <si>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</si>
  <si>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</si>
  <si>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</si>
  <si>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</si>
  <si>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</si>
  <si>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</si>
  <si>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</si>
  <si>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</si>
  <si>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</si>
  <si>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</si>
  <si>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</si>
  <si>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</si>
  <si>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</si>
  <si>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</si>
  <si>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</si>
  <si>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</si>
  <si>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</si>
  <si>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</si>
  <si>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</si>
  <si>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</si>
  <si>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</si>
  <si>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</si>
  <si>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</si>
  <si>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</si>
  <si>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</si>
  <si>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</si>
  <si>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</si>
  <si>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</si>
  <si>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</si>
  <si>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</si>
  <si>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</si>
  <si>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</si>
  <si>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</si>
  <si>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</si>
  <si>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</si>
  <si>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</si>
  <si>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</si>
  <si>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</si>
  <si>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</si>
  <si>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</si>
  <si>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</si>
  <si>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</si>
  <si>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</si>
  <si>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</si>
  <si>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</si>
  <si>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</si>
  <si>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</si>
  <si>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</si>
  <si>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</si>
  <si>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</si>
  <si>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</si>
  <si>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</si>
  <si>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</si>
  <si>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</si>
  <si>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</si>
  <si>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</si>
  <si>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</si>
  <si>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</si>
  <si>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</si>
  <si>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</si>
  <si>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</si>
  <si>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</si>
  <si>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</si>
  <si>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</si>
  <si>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</si>
  <si>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</si>
  <si>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</si>
  <si>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</si>
  <si>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</si>
  <si>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</si>
  <si>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</si>
  <si>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</si>
  <si>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</si>
  <si>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</si>
  <si>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</si>
  <si>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</si>
  <si>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</si>
  <si>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</si>
  <si>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</si>
  <si>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</si>
  <si>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</si>
  <si>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</si>
  <si>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</si>
  <si>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</si>
  <si>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</si>
  <si>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</si>
  <si>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</si>
  <si>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</si>
  <si>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</si>
  <si>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</si>
  <si>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</si>
  <si>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</si>
  <si>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</si>
  <si>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</si>
  <si>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</si>
  <si>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</si>
  <si>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</si>
  <si>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</si>
  <si>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</si>
  <si>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</si>
  <si>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</si>
  <si>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</si>
  <si>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</si>
  <si>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</si>
  <si>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</si>
  <si>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</si>
  <si>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</si>
  <si>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</si>
  <si>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</si>
  <si>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</si>
  <si>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</si>
  <si>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</si>
  <si>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</si>
  <si>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</si>
  <si>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</si>
  <si>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</si>
  <si>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</si>
  <si>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</si>
  <si>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</si>
  <si>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</si>
  <si>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</si>
  <si>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</si>
  <si>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</si>
  <si>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</si>
  <si>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</si>
  <si>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</si>
  <si>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</si>
  <si>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</si>
  <si>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</si>
  <si>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</si>
  <si>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</si>
  <si>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</si>
  <si>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</si>
  <si>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</si>
  <si>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</si>
  <si>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</si>
  <si>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</si>
  <si>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</si>
  <si>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</si>
  <si>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</si>
  <si>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</si>
  <si>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</si>
  <si>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</si>
  <si>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</si>
  <si>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</si>
  <si>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</si>
  <si>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</si>
  <si>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</si>
  <si>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</si>
  <si>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</si>
  <si>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</si>
  <si>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</si>
  <si>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</si>
  <si>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</si>
  <si>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</si>
  <si>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</si>
  <si>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</si>
  <si>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</si>
  <si>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</si>
  <si>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</si>
  <si>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</si>
  <si>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</si>
  <si>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</si>
  <si>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</si>
  <si>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</si>
  <si>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</si>
  <si>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</si>
  <si>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</si>
  <si>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</si>
  <si>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</si>
  <si>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</si>
  <si>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</si>
  <si>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</si>
  <si>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</si>
  <si>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</si>
  <si>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</si>
  <si>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</si>
  <si>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</si>
  <si>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</si>
  <si>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</si>
  <si>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</si>
  <si>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</si>
  <si>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</si>
  <si>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</si>
  <si>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</si>
  <si>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</si>
  <si>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</si>
  <si>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</si>
  <si>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</si>
  <si>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</si>
  <si>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</si>
  <si>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</si>
  <si>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</si>
  <si>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</si>
  <si>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</si>
  <si>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</si>
  <si>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</si>
  <si>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</si>
  <si>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</si>
  <si>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</si>
  <si>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</si>
  <si>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</si>
  <si>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</si>
  <si>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</si>
  <si>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</si>
  <si>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</si>
  <si>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</si>
  <si>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</si>
  <si>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</si>
  <si>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</si>
  <si>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</si>
  <si>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</si>
  <si>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</si>
  <si>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</si>
  <si>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</si>
  <si>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</si>
  <si>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</si>
  <si>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</si>
  <si>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</si>
  <si>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</si>
  <si>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</si>
  <si>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</si>
  <si>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</si>
  <si>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</si>
  <si>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</si>
  <si>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</si>
  <si>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</si>
  <si>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</si>
  <si>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</si>
  <si>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</si>
  <si>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</si>
  <si>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</si>
  <si>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</si>
  <si>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</si>
  <si>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</si>
  <si>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</si>
  <si>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</si>
  <si>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</si>
  <si>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</si>
  <si>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</si>
  <si>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</si>
  <si>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</si>
  <si>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</si>
  <si>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</si>
  <si>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</si>
  <si>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</si>
  <si>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</si>
  <si>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</si>
  <si>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</si>
  <si>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</si>
  <si>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</si>
  <si>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</si>
  <si>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</si>
  <si>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</si>
  <si>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</si>
  <si>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</si>
  <si>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</si>
  <si>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</si>
  <si>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</si>
  <si>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</si>
  <si>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</si>
  <si>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</si>
  <si>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</si>
  <si>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</si>
  <si>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</si>
  <si>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</si>
  <si>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</si>
  <si>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</si>
  <si>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</si>
  <si>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</si>
  <si>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</si>
  <si>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</si>
  <si>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</si>
  <si>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</si>
  <si>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</si>
  <si>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</si>
  <si>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</si>
  <si>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</si>
  <si>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</si>
  <si>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</si>
  <si>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</si>
  <si>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</si>
  <si>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</si>
  <si>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</si>
  <si>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</si>
  <si>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</si>
  <si>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</si>
  <si>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</si>
  <si>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</si>
  <si>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</si>
  <si>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</si>
  <si>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</si>
  <si>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</si>
  <si>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</si>
  <si>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</si>
  <si>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</si>
  <si>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</si>
  <si>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</si>
  <si>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</si>
  <si>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</si>
  <si>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</si>
  <si>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</si>
  <si>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</si>
  <si>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</si>
  <si>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</si>
  <si>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</si>
  <si>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</si>
  <si>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</si>
  <si>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</si>
  <si>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</si>
  <si>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</si>
  <si>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</si>
  <si>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</si>
  <si>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</si>
  <si>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</si>
  <si>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</si>
  <si>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</si>
  <si>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</si>
  <si>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</si>
  <si>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</si>
  <si>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</si>
  <si>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</si>
  <si>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</si>
  <si>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</si>
  <si>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</si>
  <si>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</si>
  <si>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</si>
  <si>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</si>
  <si>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</si>
  <si>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</si>
  <si>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</si>
  <si>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</si>
  <si>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</si>
  <si>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</si>
  <si>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</si>
  <si>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</si>
  <si>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</si>
  <si>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</si>
  <si>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</si>
  <si>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</si>
  <si>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</si>
  <si>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</si>
  <si>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</si>
  <si>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</si>
  <si>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</si>
  <si>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</si>
  <si>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</si>
  <si>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</si>
  <si>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</si>
  <si>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</si>
  <si>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</si>
  <si>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</si>
  <si>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</si>
  <si>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TRENCH SILOS (8,000 TONS EACH )</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</si>
  <si>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</si>
  <si>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</si>
  <si>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</si>
  <si>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</si>
  <si>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</si>
  <si>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</si>
  <si>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</si>
  <si>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</si>
  <si>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</si>
  <si>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</si>
  <si>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</si>
  <si>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</si>
  <si>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</si>
  <si>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</si>
  <si>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</si>
  <si>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</si>
  <si>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</si>
  <si>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</si>
  <si>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</si>
  <si>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</si>
  <si>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</si>
  <si>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</si>
  <si>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</si>
  <si>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</si>
  <si>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</si>
  <si>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</si>
  <si>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</si>
  <si>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</si>
  <si>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</si>
  <si>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</si>
  <si>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</si>
  <si>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</si>
  <si>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</si>
  <si>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</si>
  <si>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</si>
  <si>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</si>
  <si>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</si>
  <si>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</si>
  <si>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</si>
  <si>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</si>
  <si>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</si>
  <si>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Mixer Wagon - 650 cubic feet</t>
  </si>
  <si>
    <t xml:space="preserve">1/2 ton pickup </t>
  </si>
  <si>
    <t>3/4 ton pickup</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</si>
  <si>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</si>
  <si>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</si>
  <si>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</si>
  <si>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</si>
  <si>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</si>
  <si>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</si>
  <si>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</si>
  <si>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</si>
  <si>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</si>
  <si>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</si>
  <si>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</si>
  <si>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</si>
  <si>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</si>
  <si>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</si>
  <si>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</si>
  <si>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</si>
  <si>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</si>
  <si>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</si>
  <si>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</si>
  <si>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</si>
  <si>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</si>
  <si>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</si>
  <si>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</si>
  <si>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</si>
  <si>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</si>
  <si>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</si>
  <si>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</si>
  <si>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</si>
  <si>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</si>
  <si>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</si>
  <si>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</si>
  <si>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</si>
  <si>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</si>
  <si>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</si>
  <si>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</si>
  <si>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</si>
  <si>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</si>
  <si>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</si>
  <si>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</si>
  <si>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</si>
  <si>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</si>
  <si>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</si>
  <si>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</si>
  <si>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</si>
  <si>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</si>
  <si>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</si>
  <si>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</si>
  <si>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FARM SHOP &amp; GENERAL ROADS</t>
  </si>
  <si>
    <t>3-PHASE POWER SUPPLY</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</si>
  <si>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</si>
  <si>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</si>
  <si>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</si>
  <si>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</si>
  <si>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</si>
  <si>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</si>
  <si>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</si>
  <si>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</si>
  <si>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</si>
  <si>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</si>
  <si>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</si>
  <si>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</si>
  <si>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</si>
  <si>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</si>
  <si>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</si>
  <si>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</si>
  <si>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</si>
  <si>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</si>
  <si>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</si>
  <si>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</si>
  <si>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Prices for</t>
  </si>
  <si>
    <t>Corn silage</t>
  </si>
  <si>
    <t>Winter annual sialge</t>
  </si>
  <si>
    <t>Ground Corn</t>
  </si>
  <si>
    <t>Purchased concentrate</t>
  </si>
  <si>
    <t>$/ton As-fed</t>
  </si>
  <si>
    <t>%Dry Matter</t>
  </si>
  <si>
    <t>$/lb. DM</t>
  </si>
  <si>
    <t>Tons AF/cow/year</t>
  </si>
  <si>
    <t>Total tons per year</t>
  </si>
  <si>
    <t>Total Tons Required</t>
  </si>
  <si>
    <t>T85 hay</t>
  </si>
  <si>
    <t>Corn Silage</t>
  </si>
  <si>
    <t>Corn grain</t>
  </si>
  <si>
    <t>Feedstuff</t>
  </si>
  <si>
    <t>Acres required</t>
  </si>
  <si>
    <t>Tons/acre</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</si>
  <si>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</si>
  <si>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</si>
  <si>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</si>
  <si>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</si>
  <si>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</si>
  <si>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</si>
  <si>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</si>
  <si>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</si>
  <si>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</si>
  <si>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</si>
  <si>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</si>
  <si>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</si>
  <si>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</si>
  <si>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</si>
  <si>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</si>
  <si>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</si>
  <si>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</si>
  <si>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</si>
  <si>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</si>
  <si>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</si>
  <si>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</si>
  <si>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</si>
  <si>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</si>
  <si>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</si>
  <si>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</si>
  <si>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</si>
  <si>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</si>
  <si>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</si>
  <si>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</si>
  <si>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</si>
  <si>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</si>
  <si>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</si>
  <si>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</si>
  <si>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</si>
  <si>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</si>
  <si>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</si>
  <si>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</si>
  <si>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AMOUNT (DOLLARS)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</si>
  <si>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</si>
  <si>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</si>
  <si>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</si>
  <si>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</si>
  <si>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</si>
  <si>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</si>
  <si>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</si>
  <si>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</si>
  <si>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</si>
  <si>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</si>
  <si>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</si>
  <si>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</si>
  <si>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</si>
  <si>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</si>
  <si>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acre</t>
  </si>
  <si>
    <t>TOTAL VARIABLE COSTS</t>
  </si>
  <si>
    <t xml:space="preserve">  Other</t>
  </si>
  <si>
    <t>TOTAL PRE-HARVEST COST</t>
  </si>
  <si>
    <t>$/TON</t>
  </si>
  <si>
    <t>EXPECTED YIELD</t>
  </si>
  <si>
    <t>UNITS</t>
  </si>
  <si>
    <t>UNITS/ACRE</t>
  </si>
  <si>
    <t>COST ($/UNIT)</t>
  </si>
  <si>
    <t>COST $/ACRE</t>
  </si>
  <si>
    <t>COST $/TON</t>
  </si>
  <si>
    <t>LIME</t>
  </si>
  <si>
    <t>TON</t>
  </si>
  <si>
    <t>FERTILIZER:</t>
  </si>
  <si>
    <t xml:space="preserve">  NITROGEN</t>
  </si>
  <si>
    <t>LB.</t>
  </si>
  <si>
    <t xml:space="preserve">  PHOSPHATE</t>
  </si>
  <si>
    <t xml:space="preserve">  POTASH</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</si>
  <si>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</si>
  <si>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</si>
  <si>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</si>
  <si>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</si>
  <si>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</si>
  <si>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</si>
  <si>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</si>
  <si>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</si>
  <si>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</si>
  <si>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</si>
  <si>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</si>
  <si>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</si>
  <si>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</si>
  <si>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t>
  </si>
  <si>
    <t>TOTAL VARIABLE COST</t>
  </si>
  <si>
    <t>Yield (TONS)</t>
  </si>
  <si>
    <t xml:space="preserve">  PLASTIC WRAP FOR BALEAGE</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</si>
  <si>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</si>
  <si>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</si>
  <si>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</si>
  <si>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</si>
  <si>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</si>
  <si>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</si>
  <si>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</si>
  <si>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</si>
  <si>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</si>
  <si>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</si>
  <si>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</si>
  <si>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</si>
  <si>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</si>
  <si>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</si>
  <si>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</si>
  <si>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</si>
  <si>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</si>
  <si>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</si>
  <si>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</si>
  <si>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</si>
  <si>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</si>
  <si>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</si>
  <si>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</si>
  <si>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</si>
  <si>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</si>
  <si>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</si>
  <si>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CALF STARTTER FEED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</si>
  <si>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</si>
  <si>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</si>
  <si>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</si>
  <si>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</si>
  <si>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</si>
  <si>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</si>
  <si>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</si>
  <si>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</si>
  <si>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</si>
  <si>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</si>
  <si>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</si>
  <si>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</si>
  <si>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</si>
  <si>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</si>
  <si>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Winter Annual Silage</t>
  </si>
  <si>
    <t>Bermuda Hay/Haylage</t>
  </si>
  <si>
    <t>Total Acres Harvested</t>
  </si>
  <si>
    <t>Total tons Produced(as-fed basis)</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</si>
  <si>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</si>
  <si>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</si>
  <si>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</si>
  <si>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</si>
  <si>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</si>
  <si>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</si>
  <si>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</si>
  <si>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r>
      <t>Total Livestock Fixed Cost</t>
    </r>
    <r>
      <rPr>
        <b/>
        <sz val="10"/>
        <rFont val="Arial"/>
        <family val="2"/>
      </rPr>
      <t xml:space="preserve"> or Payment</t>
    </r>
  </si>
  <si>
    <r>
      <t>Total Tractors, Implements, &amp; Trucks Fixed Cost</t>
    </r>
    <r>
      <rPr>
        <b/>
        <sz val="10"/>
        <rFont val="Arial"/>
        <family val="2"/>
      </rPr>
      <t xml:space="preserve"> or Payment</t>
    </r>
  </si>
  <si>
    <r>
      <t>Total Buildings &amp; Facilities Fixed Cost</t>
    </r>
    <r>
      <rPr>
        <b/>
        <sz val="10"/>
        <rFont val="Arial"/>
        <family val="2"/>
      </rPr>
      <t xml:space="preserve"> or Payment</t>
    </r>
  </si>
  <si>
    <r>
      <t>Total Waste Management System  Fixed Cost</t>
    </r>
    <r>
      <rPr>
        <b/>
        <sz val="10"/>
        <rFont val="Arial"/>
        <family val="2"/>
      </rPr>
      <t xml:space="preserve"> or Payment</t>
    </r>
  </si>
  <si>
    <r>
      <t>Total Land Fixed Cost</t>
    </r>
    <r>
      <rPr>
        <b/>
        <sz val="10"/>
        <rFont val="Arial"/>
        <family val="2"/>
      </rPr>
      <t xml:space="preserve"> or Payment</t>
    </r>
  </si>
  <si>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</si>
  <si>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</si>
  <si>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</si>
  <si>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</si>
  <si>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</si>
  <si>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</si>
  <si>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PURCHASED FEED COSTS - Amounts come from Feed tab.  Prices for feeds can be entered in the appropriate cells.</t>
  </si>
  <si>
    <t>RETURN TO MAIN BUDGET</t>
  </si>
  <si>
    <t>TIFTON 85 OR OTHER HYBRID BERMUDA PRODUCTION COSTS</t>
  </si>
  <si>
    <t>VITAMINS &amp; MINERALS (IF NOT INCLUDED IN FEEDING DETAILS</t>
  </si>
  <si>
    <t>Feeding Program and Cost Details</t>
  </si>
  <si>
    <t>WET BREWERS/DISTILLERS GRAIN</t>
  </si>
  <si>
    <r>
      <t>LAND</t>
    </r>
    <r>
      <rPr>
        <b/>
        <sz val="10"/>
        <rFont val="Arial"/>
        <family val="2"/>
      </rPr>
      <t xml:space="preserve"> AND EXISTING PAYMENTS</t>
    </r>
  </si>
  <si>
    <t>PASTURE</t>
  </si>
  <si>
    <t>WINTER ANNUAL GRAZING PRODUCTION COSTS</t>
  </si>
  <si>
    <t>TIFTON 85 OR OTHER PERMANENT PASTURE PRODUCTION COSTS</t>
  </si>
  <si>
    <t>Yield (TONS-AS FED)</t>
  </si>
  <si>
    <t>Article name</t>
  </si>
  <si>
    <t>Link</t>
  </si>
  <si>
    <t>INPUT DATA: Your values in unprotected or shaded cells</t>
  </si>
  <si>
    <t>FEEDING BARN</t>
  </si>
  <si>
    <t>MILKING PARLOR &amp; EQUIPMENT</t>
  </si>
  <si>
    <t>4-wheeler or utility vehicle</t>
  </si>
  <si>
    <t>Feeders/milkers</t>
  </si>
  <si>
    <t xml:space="preserve">Crops </t>
  </si>
  <si>
    <t>WINTER ANNUAL PASTURE</t>
  </si>
  <si>
    <t>PERMANENT PASTURE GRAZING</t>
  </si>
  <si>
    <t>Permanent pasture grazing details</t>
  </si>
  <si>
    <t>Lime</t>
  </si>
  <si>
    <t>EXPECTED BASE MILK PRICE ($/CWT.)</t>
  </si>
  <si>
    <t>UTILITIES (excluding irrigation)</t>
  </si>
  <si>
    <t>Fuel Cost</t>
  </si>
  <si>
    <t>Machinery Repairs</t>
  </si>
  <si>
    <t>Sorghum Silage</t>
  </si>
  <si>
    <t>Winter Grazing</t>
  </si>
  <si>
    <t>Permanent Pasture</t>
  </si>
  <si>
    <t>TVC/per ton (as-fed)</t>
  </si>
  <si>
    <t>OTHER REPAIRS NOT COVERED IN MACHINERY OR BUILDINGS/FACILITIES</t>
  </si>
  <si>
    <t>BUILDING AND FACILITY REPAIRS</t>
  </si>
  <si>
    <t>RAISED CROP MACHINERY REPAIRS (Data entered in individual crop budgets and summarized in Raised Summary tab)</t>
  </si>
  <si>
    <t>CROPLAND (PASTURE OR SILAGE) RENTAL</t>
  </si>
  <si>
    <t>COW</t>
  </si>
  <si>
    <t>RAISED CROP MACHINERY FUEL (Data entered in individual crop budgets and summarized in Raised Summary tab)</t>
  </si>
  <si>
    <t>OTHER FUEL (EXCLUDING IRRIGATION)</t>
  </si>
  <si>
    <t>FARM</t>
  </si>
  <si>
    <t>TVC excluding Fuel and Repairs (Total)</t>
  </si>
  <si>
    <t>TVC excluding Fuel and Repairs ($/acre)</t>
  </si>
  <si>
    <r>
      <t>RAISED FEED COSTS</t>
    </r>
    <r>
      <rPr>
        <sz val="12"/>
        <color theme="1"/>
        <rFont val="Calibri"/>
        <family val="2"/>
        <scheme val="minor"/>
      </rPr>
      <t xml:space="preserve"> - Use hyperlinks to the left to calculate details</t>
    </r>
    <r>
      <rPr>
        <sz val="12"/>
        <color theme="1"/>
        <rFont val="Calibri"/>
        <family val="2"/>
        <scheme val="minor"/>
      </rPr>
      <t>.  Acreages can only be entered on the individual crop tabs</t>
    </r>
  </si>
  <si>
    <r>
      <rPr>
        <b/>
        <sz val="12"/>
        <color theme="1"/>
        <rFont val="Calibri"/>
        <family val="2"/>
        <charset val="129"/>
        <scheme val="minor"/>
      </rPr>
      <t>LAND RENT</t>
    </r>
    <r>
      <rPr>
        <sz val="12"/>
        <color theme="1"/>
        <rFont val="Calibri"/>
        <family val="2"/>
        <scheme val="minor"/>
      </rPr>
      <t xml:space="preserve"> (if not included in other crops)</t>
    </r>
  </si>
  <si>
    <r>
      <t>LAND RENT</t>
    </r>
    <r>
      <rPr>
        <sz val="12"/>
        <color rgb="FF000000"/>
        <rFont val="Calibri"/>
        <family val="2"/>
        <charset val="129"/>
      </rPr>
      <t xml:space="preserve"> (if not included in other crops)</t>
    </r>
  </si>
  <si>
    <t>Feeding Summary</t>
  </si>
  <si>
    <t>RAISED CROPS PRODUCTION AND COST SUMMARY</t>
  </si>
  <si>
    <t>Winter Annual silage details</t>
  </si>
  <si>
    <t>Winter Annual pasture details</t>
  </si>
  <si>
    <t>Hay Production details</t>
  </si>
  <si>
    <t>*Agricultural &amp; Applied Economics and **Animal &amp; Dairy Science Departments</t>
  </si>
  <si>
    <t>BALANCE TO BE PURCHASED*</t>
  </si>
  <si>
    <t xml:space="preserve">*Irrigation application assumes use of diesel power unit.  Electric power unit is estimated to be 60% of the cost of $3.25 per gal diesel. </t>
  </si>
  <si>
    <t>Partial funding for this budget development provided by Southern SARE, Project LS11-243, Improving the Welfare of Southeastern Dairy Families Through the Adoption of Sustainable Production Systems.</t>
  </si>
  <si>
    <t>VETERINARY EXPENSE</t>
  </si>
  <si>
    <t>Developed by R. Curt Lacy*, John K. Bernard**, and Gena Perry*</t>
  </si>
  <si>
    <t>EXISTING PAYMENTS (to be used only with Cash Flow budget)</t>
  </si>
  <si>
    <t>600 Cow Hybrid Grazing Dairy Enterprise Budget</t>
  </si>
  <si>
    <t xml:space="preserve"> Tracton</t>
  </si>
  <si>
    <t xml:space="preserve"> Implements</t>
  </si>
  <si>
    <t>MILK QUALITY ADJUSTMENT (Q-FACTOR/CWT. OF MILK SOLD)</t>
  </si>
  <si>
    <t>Month</t>
  </si>
  <si>
    <t>Milk Production</t>
  </si>
  <si>
    <t>May</t>
  </si>
  <si>
    <t>Base Milk Price</t>
  </si>
  <si>
    <t>Revenue</t>
  </si>
  <si>
    <t>Feeding Program Details</t>
  </si>
  <si>
    <t>USE THIS SHEET TO CALCULATE YOUR WEIGHTED AVERAGE PRICE OF MILK</t>
  </si>
  <si>
    <t>Total of Monthly Milk Production</t>
  </si>
  <si>
    <t>Total Annual Milk Production from Main Page</t>
  </si>
  <si>
    <t xml:space="preserve">Discrepancy </t>
  </si>
  <si>
    <t>&lt;-------- When you are through this number should be Zero</t>
  </si>
  <si>
    <t>Based on your reported monthly milk production , your weighted average price of milk</t>
  </si>
  <si>
    <t>January</t>
  </si>
  <si>
    <t>February</t>
  </si>
  <si>
    <t>March</t>
  </si>
  <si>
    <t>April</t>
  </si>
  <si>
    <t>June</t>
  </si>
  <si>
    <t>July</t>
  </si>
  <si>
    <t>August</t>
  </si>
  <si>
    <t>September</t>
  </si>
  <si>
    <t>October</t>
  </si>
  <si>
    <t>November</t>
  </si>
  <si>
    <t>December</t>
  </si>
  <si>
    <t>&lt;-------- This number is only valid if the discrepancy (above) is zero</t>
  </si>
  <si>
    <t>&lt;----- to calculate a weighted average milk price click here</t>
  </si>
  <si>
    <t>Click here to return to the Main Page</t>
  </si>
  <si>
    <t>SHRINK OR LOSS PERCENTAGE</t>
  </si>
  <si>
    <t>OTHER INCOME (miscellaneous crop or livestock sales, etc.)</t>
  </si>
  <si>
    <t>TOTAL NUMBER OF MATURE COWS IN HERD (this includes milking + dry)</t>
  </si>
  <si>
    <t>RAISED MILK USED FOR DAIRY CALVES</t>
  </si>
  <si>
    <t xml:space="preserve">CALCULATED NUMBER OF REPLACEMENTS NEEDED (COWS X (CULL RATE+COW DEATH LOSS+HEIFER DEATH LOSS)  </t>
  </si>
  <si>
    <t>NUMBER OF HEIFERS RAISED</t>
  </si>
  <si>
    <t>Enter the number you want to use--&gt;</t>
  </si>
  <si>
    <t xml:space="preserve">HEIFERS SOLD. The calcuated number available for sale = </t>
  </si>
  <si>
    <t>Updated by Levi Russell*</t>
  </si>
  <si>
    <t>Updated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</si>
</sst>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 numFmtId="169" formatCode="[$-409]mmmm\ d\,\ yyyy;@"/>
  </numFmts>
  <fonts count="55">
    <font>
      <sz val="10"/>
      <name val="Arial"/>
    </font>
    <font>
      <sz val="12"/>
      <color theme="1"/>
      <name val="Calibri"/>
      <family val="2"/>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sz val="12"/>
      <color theme="1"/>
      <name val="Arial Rounded MT Bold"/>
      <family val="2"/>
    </font>
    <font>
      <i/>
      <sz val="12"/>
      <color theme="1"/>
      <name val="Calibri"/>
      <family val="2"/>
      <scheme val="minor"/>
    </font>
    <font>
      <u/>
      <sz val="11"/>
      <color theme="10"/>
      <name val="Calibri"/>
      <family val="2"/>
      <scheme val="minor"/>
    </font>
    <font>
      <sz val="12"/>
      <color theme="1"/>
      <name val="Calibri"/>
      <family val="2"/>
    </font>
    <font>
      <i/>
      <sz val="12"/>
      <name val="Calibri"/>
      <family val="2"/>
    </font>
    <font>
      <sz val="12"/>
      <name val="Calibri"/>
      <family val="2"/>
    </font>
    <font>
      <b/>
      <sz val="12"/>
      <name val="Calibri"/>
      <family val="2"/>
    </font>
    <font>
      <b/>
      <sz val="18"/>
      <name val="Arial"/>
      <family val="2"/>
    </font>
    <font>
      <b/>
      <sz val="12"/>
      <color rgb="FFFA7D00"/>
      <name val="Calibri"/>
      <family val="2"/>
      <charset val="129"/>
      <scheme val="minor"/>
    </font>
    <font>
      <sz val="12"/>
      <name val="Calibri"/>
      <family val="2"/>
      <scheme val="minor"/>
    </font>
    <font>
      <b/>
      <sz val="12"/>
      <name val="Calibri"/>
      <family val="2"/>
      <scheme val="minor"/>
    </font>
    <font>
      <i/>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b/>
      <sz val="14"/>
      <color theme="1"/>
      <name val="Calibri"/>
      <family val="2"/>
      <scheme val="minor"/>
    </font>
    <font>
      <sz val="12"/>
      <color rgb="FF000000"/>
      <name val="Calibri"/>
      <family val="2"/>
      <charset val="129"/>
    </font>
    <font>
      <b/>
      <sz val="12"/>
      <color rgb="FF000000"/>
      <name val="Calibri"/>
      <family val="2"/>
      <charset val="129"/>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14999847407452621"/>
        <bgColor indexed="64"/>
      </patternFill>
    </fill>
  </fills>
  <borders count="44">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7F7F7F"/>
      </right>
      <top/>
      <bottom/>
      <diagonal/>
    </border>
    <border>
      <left/>
      <right/>
      <top/>
      <bottom style="thin">
        <color theme="4"/>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s>
  <cellStyleXfs count="199">
    <xf numFmtId="0" fontId="0" fillId="0" borderId="0">
      <alignment vertical="top"/>
    </xf>
    <xf numFmtId="0" fontId="10" fillId="0" borderId="0" applyNumberFormat="0" applyFill="0" applyAlignment="0" applyProtection="0"/>
    <xf numFmtId="3" fontId="17" fillId="0" borderId="0" applyFont="0" applyFill="0" applyBorder="0" applyAlignment="0" applyProtection="0"/>
    <xf numFmtId="7" fontId="17" fillId="0" borderId="0" applyFont="0" applyFill="0" applyBorder="0" applyAlignment="0" applyProtection="0"/>
    <xf numFmtId="5"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6" fillId="0" borderId="0" applyNumberFormat="0" applyFill="0" applyBorder="0" applyAlignment="0" applyProtection="0">
      <alignment vertical="top"/>
      <protection locked="0"/>
    </xf>
    <xf numFmtId="10" fontId="17" fillId="0" borderId="0" applyFont="0" applyFill="0" applyBorder="0" applyAlignment="0" applyProtection="0"/>
    <xf numFmtId="43" fontId="17" fillId="0" borderId="0" applyFont="0" applyFill="0" applyBorder="0" applyAlignment="0" applyProtection="0"/>
    <xf numFmtId="0" fontId="24" fillId="0" borderId="25" applyNumberFormat="0" applyFill="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8" fillId="0" borderId="0"/>
    <xf numFmtId="44" fontId="28" fillId="0" borderId="0" applyFont="0" applyFill="0" applyBorder="0" applyAlignment="0" applyProtection="0"/>
    <xf numFmtId="0" fontId="31" fillId="0" borderId="0" applyNumberFormat="0" applyFill="0" applyBorder="0" applyAlignment="0" applyProtection="0"/>
    <xf numFmtId="0" fontId="17" fillId="0" borderId="0">
      <alignment vertical="top"/>
    </xf>
    <xf numFmtId="7" fontId="17" fillId="0" borderId="0" applyFont="0" applyFill="0" applyBorder="0" applyAlignment="0" applyProtection="0"/>
    <xf numFmtId="10" fontId="17" fillId="0" borderId="0" applyFont="0" applyFill="0" applyBorder="0" applyAlignment="0" applyProtection="0"/>
    <xf numFmtId="0" fontId="36" fillId="0" borderId="0" applyNumberFormat="0" applyFont="0" applyFill="0" applyAlignment="0" applyProtection="0"/>
    <xf numFmtId="0" fontId="37" fillId="10" borderId="29" applyNumberFormat="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49" fillId="0" borderId="0" applyNumberFormat="0" applyFill="0" applyBorder="0" applyAlignment="0" applyProtection="0"/>
    <xf numFmtId="0" fontId="50" fillId="0" borderId="31" applyNumberFormat="0" applyFill="0" applyAlignment="0" applyProtection="0"/>
    <xf numFmtId="0" fontId="51" fillId="15" borderId="29" applyNumberFormat="0" applyAlignment="0" applyProtection="0"/>
    <xf numFmtId="0" fontId="5" fillId="16" borderId="0" applyNumberFormat="0" applyBorder="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cellStyleXfs>
  <cellXfs count="574">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xf numFmtId="0" fontId="9" fillId="0" borderId="0" xfId="0" applyFont="1" applyBorder="1" applyAlignment="1"/>
    <xf numFmtId="0" fontId="0" fillId="0" borderId="0" xfId="0" applyFont="1" applyAlignment="1">
      <alignment horizontal="centerContinuous"/>
    </xf>
    <xf numFmtId="0" fontId="9" fillId="0" borderId="3" xfId="0" applyFont="1" applyFill="1" applyBorder="1" applyAlignment="1" applyProtection="1">
      <alignment horizontal="centerContinuous"/>
      <protection locked="0"/>
    </xf>
    <xf numFmtId="0" fontId="13" fillId="0" borderId="0" xfId="0" applyFont="1" applyBorder="1" applyAlignment="1">
      <alignment horizontal="centerContinuous"/>
    </xf>
    <xf numFmtId="0" fontId="9" fillId="0" borderId="2" xfId="0" applyFont="1" applyFill="1" applyBorder="1" applyAlignment="1" applyProtection="1">
      <alignment horizontal="centerContinuous"/>
      <protection locked="0"/>
    </xf>
    <xf numFmtId="0" fontId="13" fillId="0" borderId="0" xfId="0" applyFont="1" applyBorder="1" applyAlignment="1" applyProtection="1">
      <alignment horizontal="centerContinuous"/>
      <protection locked="0"/>
    </xf>
    <xf numFmtId="0" fontId="9" fillId="0" borderId="6" xfId="0" applyFont="1" applyFill="1" applyBorder="1" applyAlignment="1">
      <alignment horizontal="centerContinuous"/>
    </xf>
    <xf numFmtId="0" fontId="0" fillId="0" borderId="7"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12" fillId="0" borderId="0" xfId="0" applyFont="1" applyAlignment="1" applyProtection="1">
      <alignment horizontal="centerContinuous"/>
      <protection locked="0"/>
    </xf>
    <xf numFmtId="0" fontId="9" fillId="0" borderId="5" xfId="0" applyFont="1" applyFill="1" applyBorder="1" applyAlignment="1">
      <alignment horizontal="centerContinuous"/>
    </xf>
    <xf numFmtId="0" fontId="9" fillId="0" borderId="7" xfId="0" applyFont="1" applyFill="1" applyBorder="1" applyAlignment="1">
      <alignment horizontal="centerContinuous"/>
    </xf>
    <xf numFmtId="0" fontId="9" fillId="0" borderId="8" xfId="0" applyFont="1" applyFill="1" applyBorder="1" applyAlignment="1">
      <alignment horizontal="centerContinuous"/>
    </xf>
    <xf numFmtId="0" fontId="9" fillId="0" borderId="2" xfId="0" applyFont="1" applyFill="1" applyBorder="1" applyAlignment="1">
      <alignment horizontal="centerContinuous"/>
    </xf>
    <xf numFmtId="3" fontId="12" fillId="0" borderId="0" xfId="0" applyNumberFormat="1" applyFont="1" applyAlignment="1" applyProtection="1">
      <protection locked="0"/>
    </xf>
    <xf numFmtId="0" fontId="12" fillId="0" borderId="0" xfId="0" applyFont="1" applyAlignment="1" applyProtection="1">
      <protection locked="0"/>
    </xf>
    <xf numFmtId="2" fontId="12" fillId="0" borderId="0" xfId="0" applyNumberFormat="1" applyFont="1" applyAlignment="1" applyProtection="1">
      <protection locked="0"/>
    </xf>
    <xf numFmtId="1" fontId="12" fillId="0" borderId="0" xfId="0" applyNumberFormat="1" applyFont="1" applyAlignment="1" applyProtection="1">
      <protection locked="0"/>
    </xf>
    <xf numFmtId="9" fontId="12" fillId="0" borderId="0" xfId="0" applyNumberFormat="1" applyFont="1" applyAlignment="1" applyProtection="1">
      <protection locked="0"/>
    </xf>
    <xf numFmtId="10" fontId="12" fillId="0" borderId="0" xfId="0" applyNumberFormat="1" applyFont="1" applyAlignment="1" applyProtection="1">
      <protection locked="0"/>
    </xf>
    <xf numFmtId="0" fontId="9" fillId="0" borderId="5" xfId="0" applyFont="1" applyFill="1" applyBorder="1" applyAlignment="1">
      <alignment horizontal="center"/>
    </xf>
    <xf numFmtId="0" fontId="9" fillId="0" borderId="6" xfId="0" applyFont="1" applyFill="1" applyBorder="1" applyAlignment="1">
      <alignment horizontal="center"/>
    </xf>
    <xf numFmtId="0" fontId="0" fillId="0" borderId="8" xfId="0" applyFont="1" applyFill="1" applyBorder="1" applyAlignment="1">
      <alignment horizontal="centerContinuous"/>
    </xf>
    <xf numFmtId="0" fontId="9" fillId="0" borderId="3" xfId="0" applyFont="1" applyFill="1" applyBorder="1" applyAlignment="1">
      <alignment horizontal="centerContinuous"/>
    </xf>
    <xf numFmtId="0" fontId="0" fillId="0" borderId="2" xfId="0" applyFont="1" applyFill="1" applyBorder="1" applyAlignment="1">
      <alignment horizontal="center"/>
    </xf>
    <xf numFmtId="0" fontId="14" fillId="0" borderId="0" xfId="0" applyFont="1" applyAlignment="1" applyProtection="1">
      <protection locked="0"/>
    </xf>
    <xf numFmtId="165" fontId="12" fillId="0" borderId="0" xfId="0" applyNumberFormat="1" applyFont="1" applyAlignment="1" applyProtection="1">
      <protection locked="0"/>
    </xf>
    <xf numFmtId="165" fontId="0" fillId="0" borderId="0" xfId="0" applyNumberFormat="1" applyAlignment="1" applyProtection="1">
      <protection locked="0"/>
    </xf>
    <xf numFmtId="165" fontId="12" fillId="0" borderId="0" xfId="0" applyNumberFormat="1" applyFont="1" applyAlignment="1" applyProtection="1">
      <alignment horizontal="right"/>
      <protection locked="0"/>
    </xf>
    <xf numFmtId="165" fontId="0" fillId="0" borderId="0" xfId="0" applyNumberFormat="1" applyAlignment="1"/>
    <xf numFmtId="7" fontId="0" fillId="0" borderId="0" xfId="3" applyFont="1"/>
    <xf numFmtId="0" fontId="0" fillId="0" borderId="0" xfId="0" applyAlignment="1" applyProtection="1">
      <alignment horizontal="left"/>
      <protection locked="0"/>
    </xf>
    <xf numFmtId="0" fontId="0" fillId="0" borderId="0" xfId="0" applyBorder="1" applyAlignment="1" applyProtection="1">
      <protection locked="0"/>
    </xf>
    <xf numFmtId="3" fontId="12" fillId="0" borderId="16" xfId="0" applyNumberFormat="1" applyFont="1" applyBorder="1" applyAlignment="1" applyProtection="1">
      <protection locked="0"/>
    </xf>
    <xf numFmtId="9" fontId="12" fillId="0" borderId="16" xfId="0" applyNumberFormat="1" applyFont="1" applyBorder="1" applyAlignment="1" applyProtection="1">
      <protection locked="0"/>
    </xf>
    <xf numFmtId="165" fontId="12" fillId="0" borderId="16" xfId="0" applyNumberFormat="1" applyFont="1" applyBorder="1" applyAlignment="1" applyProtection="1">
      <protection locked="0"/>
    </xf>
    <xf numFmtId="7" fontId="12" fillId="0" borderId="0" xfId="3" applyFont="1" applyProtection="1">
      <protection locked="0"/>
    </xf>
    <xf numFmtId="3" fontId="0" fillId="0" borderId="0" xfId="0" applyNumberFormat="1" applyBorder="1" applyAlignment="1" applyProtection="1">
      <protection locked="0"/>
    </xf>
    <xf numFmtId="165" fontId="12" fillId="0" borderId="0" xfId="0" applyNumberFormat="1" applyFont="1" applyBorder="1" applyAlignment="1" applyProtection="1">
      <protection locked="0"/>
    </xf>
    <xf numFmtId="165" fontId="0" fillId="0" borderId="0" xfId="0" applyNumberFormat="1" applyBorder="1" applyAlignment="1" applyProtection="1">
      <protection locked="0"/>
    </xf>
    <xf numFmtId="0" fontId="14" fillId="0" borderId="0" xfId="0" applyFont="1" applyBorder="1" applyAlignment="1" applyProtection="1">
      <alignment horizontal="left"/>
      <protection locked="0"/>
    </xf>
    <xf numFmtId="3" fontId="14" fillId="0" borderId="0" xfId="0" applyNumberFormat="1" applyFont="1" applyBorder="1" applyAlignment="1" applyProtection="1">
      <alignment horizontal="left"/>
      <protection locked="0"/>
    </xf>
    <xf numFmtId="165" fontId="15" fillId="0" borderId="0" xfId="0" applyNumberFormat="1" applyFont="1" applyBorder="1" applyAlignment="1" applyProtection="1">
      <alignment horizontal="left"/>
      <protection locked="0"/>
    </xf>
    <xf numFmtId="165" fontId="15" fillId="0" borderId="0" xfId="0" applyNumberFormat="1" applyFont="1" applyBorder="1" applyAlignment="1" applyProtection="1">
      <protection locked="0"/>
    </xf>
    <xf numFmtId="7" fontId="15" fillId="0" borderId="0" xfId="3" applyFont="1" applyBorder="1" applyProtection="1">
      <protection locked="0"/>
    </xf>
    <xf numFmtId="1" fontId="15"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12" fillId="0" borderId="16" xfId="0" applyNumberFormat="1" applyFont="1" applyBorder="1" applyAlignment="1" applyProtection="1">
      <protection locked="0"/>
    </xf>
    <xf numFmtId="165" fontId="12" fillId="0" borderId="16" xfId="0" applyNumberFormat="1" applyFont="1" applyFill="1" applyBorder="1" applyAlignment="1" applyProtection="1">
      <protection locked="0"/>
    </xf>
    <xf numFmtId="7" fontId="12" fillId="0" borderId="16" xfId="3" applyFont="1" applyBorder="1" applyProtection="1">
      <protection locked="0"/>
    </xf>
    <xf numFmtId="0" fontId="0" fillId="0" borderId="16" xfId="0" applyBorder="1" applyAlignment="1" applyProtection="1">
      <protection locked="0"/>
    </xf>
    <xf numFmtId="0" fontId="14" fillId="0" borderId="17" xfId="0" applyFont="1" applyFill="1" applyBorder="1" applyAlignment="1" applyProtection="1">
      <alignment horizontal="left"/>
      <protection locked="0"/>
    </xf>
    <xf numFmtId="0" fontId="14" fillId="0" borderId="14" xfId="0" applyFont="1" applyFill="1" applyBorder="1" applyAlignment="1" applyProtection="1">
      <alignment horizontal="left"/>
      <protection locked="0"/>
    </xf>
    <xf numFmtId="3" fontId="14" fillId="0" borderId="14" xfId="0" applyNumberFormat="1" applyFont="1" applyFill="1" applyBorder="1" applyAlignment="1" applyProtection="1">
      <alignment horizontal="left"/>
      <protection locked="0"/>
    </xf>
    <xf numFmtId="165" fontId="15" fillId="0" borderId="14" xfId="0" applyNumberFormat="1" applyFont="1" applyFill="1" applyBorder="1" applyAlignment="1" applyProtection="1">
      <alignment horizontal="left"/>
      <protection locked="0"/>
    </xf>
    <xf numFmtId="7" fontId="15" fillId="0" borderId="14" xfId="3" applyFont="1" applyFill="1" applyBorder="1" applyProtection="1">
      <protection locked="0"/>
    </xf>
    <xf numFmtId="0" fontId="14" fillId="0" borderId="14" xfId="0" applyFont="1" applyFill="1" applyBorder="1" applyAlignment="1" applyProtection="1">
      <protection locked="0"/>
    </xf>
    <xf numFmtId="0" fontId="0" fillId="0" borderId="0" xfId="0" applyBorder="1" applyAlignment="1" applyProtection="1">
      <alignment horizontal="left"/>
      <protection locked="0"/>
    </xf>
    <xf numFmtId="9" fontId="12" fillId="0" borderId="0" xfId="0" applyNumberFormat="1" applyFont="1" applyBorder="1" applyAlignment="1" applyProtection="1">
      <protection locked="0"/>
    </xf>
    <xf numFmtId="7" fontId="12" fillId="0" borderId="0" xfId="3" applyFont="1" applyBorder="1" applyProtection="1">
      <protection locked="0"/>
    </xf>
    <xf numFmtId="10" fontId="12" fillId="0" borderId="0" xfId="0" applyNumberFormat="1" applyFont="1" applyBorder="1" applyAlignment="1" applyProtection="1">
      <protection locked="0"/>
    </xf>
    <xf numFmtId="3" fontId="12" fillId="0" borderId="0" xfId="0" applyNumberFormat="1" applyFont="1" applyBorder="1" applyAlignment="1" applyProtection="1">
      <protection locked="0"/>
    </xf>
    <xf numFmtId="165" fontId="15" fillId="0" borderId="14" xfId="0" applyNumberFormat="1" applyFont="1" applyFill="1" applyBorder="1" applyAlignment="1" applyProtection="1">
      <protection locked="0"/>
    </xf>
    <xf numFmtId="0" fontId="14" fillId="0" borderId="17" xfId="0" applyFont="1" applyFill="1" applyBorder="1" applyAlignment="1"/>
    <xf numFmtId="0" fontId="14" fillId="0" borderId="14" xfId="0" applyFont="1" applyFill="1" applyBorder="1" applyAlignment="1"/>
    <xf numFmtId="1" fontId="14" fillId="0" borderId="14" xfId="0" applyNumberFormat="1" applyFont="1" applyFill="1" applyBorder="1" applyAlignment="1"/>
    <xf numFmtId="7" fontId="14" fillId="0" borderId="14" xfId="0" applyNumberFormat="1" applyFont="1" applyFill="1" applyBorder="1" applyAlignment="1"/>
    <xf numFmtId="9" fontId="15" fillId="0" borderId="14" xfId="0" applyNumberFormat="1" applyFont="1" applyFill="1" applyBorder="1" applyAlignment="1" applyProtection="1">
      <protection locked="0"/>
    </xf>
    <xf numFmtId="10" fontId="15" fillId="0" borderId="14" xfId="0" applyNumberFormat="1" applyFont="1" applyFill="1" applyBorder="1" applyAlignment="1" applyProtection="1">
      <protection locked="0"/>
    </xf>
    <xf numFmtId="3" fontId="15" fillId="0" borderId="14" xfId="0" applyNumberFormat="1" applyFont="1" applyFill="1" applyBorder="1" applyAlignment="1" applyProtection="1">
      <protection locked="0"/>
    </xf>
    <xf numFmtId="165" fontId="0" fillId="0" borderId="0" xfId="0" applyNumberFormat="1" applyFill="1" applyBorder="1" applyAlignment="1"/>
    <xf numFmtId="165" fontId="14" fillId="0" borderId="14" xfId="0" applyNumberFormat="1" applyFont="1" applyFill="1" applyBorder="1" applyAlignment="1"/>
    <xf numFmtId="5" fontId="15" fillId="0" borderId="14" xfId="0" applyNumberFormat="1" applyFont="1" applyFill="1" applyBorder="1" applyAlignment="1" applyProtection="1">
      <protection locked="0"/>
    </xf>
    <xf numFmtId="0" fontId="14" fillId="4" borderId="17" xfId="0" applyFont="1" applyFill="1" applyBorder="1" applyAlignment="1"/>
    <xf numFmtId="0" fontId="14" fillId="4" borderId="14" xfId="0" applyFont="1" applyFill="1" applyBorder="1" applyAlignment="1"/>
    <xf numFmtId="165" fontId="14" fillId="4" borderId="15" xfId="0" applyNumberFormat="1" applyFont="1" applyFill="1" applyBorder="1" applyAlignment="1"/>
    <xf numFmtId="0" fontId="14" fillId="0" borderId="0" xfId="0" applyFont="1" applyAlignment="1"/>
    <xf numFmtId="0" fontId="14" fillId="0" borderId="19" xfId="0" applyFont="1" applyBorder="1" applyAlignment="1"/>
    <xf numFmtId="0" fontId="14" fillId="0" borderId="18" xfId="0" applyFont="1" applyBorder="1" applyAlignment="1"/>
    <xf numFmtId="165" fontId="14" fillId="0" borderId="18" xfId="0" applyNumberFormat="1" applyFont="1" applyBorder="1" applyAlignment="1"/>
    <xf numFmtId="3" fontId="15" fillId="0" borderId="18" xfId="0" applyNumberFormat="1" applyFont="1" applyBorder="1" applyAlignment="1" applyProtection="1">
      <protection locked="0"/>
    </xf>
    <xf numFmtId="0" fontId="9" fillId="0" borderId="0" xfId="0" applyFont="1" applyFill="1" applyBorder="1" applyAlignment="1"/>
    <xf numFmtId="0" fontId="0" fillId="0" borderId="0" xfId="0" applyFill="1" applyBorder="1" applyAlignment="1"/>
    <xf numFmtId="0" fontId="0" fillId="0" borderId="0" xfId="0" applyBorder="1" applyAlignment="1"/>
    <xf numFmtId="0" fontId="14" fillId="0" borderId="16" xfId="0" applyFont="1" applyBorder="1" applyAlignment="1"/>
    <xf numFmtId="165" fontId="14" fillId="2" borderId="14" xfId="0" applyNumberFormat="1" applyFont="1" applyFill="1" applyBorder="1" applyAlignment="1"/>
    <xf numFmtId="3" fontId="15" fillId="2" borderId="14" xfId="0" applyNumberFormat="1" applyFont="1" applyFill="1" applyBorder="1" applyAlignment="1" applyProtection="1">
      <protection locked="0"/>
    </xf>
    <xf numFmtId="0" fontId="14" fillId="2" borderId="14" xfId="0" applyFont="1" applyFill="1" applyBorder="1" applyAlignment="1"/>
    <xf numFmtId="165" fontId="14" fillId="2" borderId="15" xfId="0" applyNumberFormat="1" applyFont="1" applyFill="1" applyBorder="1" applyAlignment="1"/>
    <xf numFmtId="1" fontId="12" fillId="0" borderId="16" xfId="0" applyNumberFormat="1" applyFont="1" applyBorder="1" applyAlignment="1" applyProtection="1">
      <protection locked="0"/>
    </xf>
    <xf numFmtId="165" fontId="0" fillId="0" borderId="16" xfId="0" applyNumberFormat="1" applyBorder="1" applyAlignment="1" applyProtection="1">
      <protection locked="0"/>
    </xf>
    <xf numFmtId="0" fontId="17" fillId="0" borderId="0" xfId="0" applyFont="1" applyAlignment="1"/>
    <xf numFmtId="0" fontId="22" fillId="0" borderId="23" xfId="0" applyFont="1" applyBorder="1" applyAlignment="1"/>
    <xf numFmtId="2" fontId="22" fillId="0" borderId="23" xfId="0" applyNumberFormat="1" applyFont="1" applyBorder="1" applyAlignment="1"/>
    <xf numFmtId="0" fontId="22" fillId="0" borderId="23" xfId="0" applyFont="1" applyBorder="1" applyAlignment="1">
      <alignment horizontal="center"/>
    </xf>
    <xf numFmtId="164" fontId="22" fillId="0" borderId="23" xfId="0" applyNumberFormat="1" applyFont="1" applyBorder="1" applyAlignment="1">
      <alignment horizontal="center"/>
    </xf>
    <xf numFmtId="0" fontId="22" fillId="0" borderId="0" xfId="0" applyFont="1" applyAlignment="1"/>
    <xf numFmtId="2" fontId="22" fillId="0" borderId="0" xfId="0" applyNumberFormat="1" applyFont="1" applyAlignment="1"/>
    <xf numFmtId="164" fontId="22" fillId="0" borderId="0" xfId="0" applyNumberFormat="1" applyFont="1" applyAlignment="1"/>
    <xf numFmtId="167" fontId="22" fillId="0" borderId="0" xfId="0" applyNumberFormat="1" applyFont="1" applyAlignment="1"/>
    <xf numFmtId="0" fontId="17" fillId="6" borderId="0" xfId="0" applyFont="1" applyFill="1" applyAlignment="1"/>
    <xf numFmtId="7" fontId="22" fillId="6" borderId="0" xfId="3" applyFont="1" applyFill="1" applyAlignment="1"/>
    <xf numFmtId="1" fontId="22" fillId="6" borderId="0" xfId="0" applyNumberFormat="1" applyFont="1" applyFill="1" applyAlignment="1"/>
    <xf numFmtId="1" fontId="22" fillId="6" borderId="0" xfId="0" applyNumberFormat="1" applyFont="1" applyFill="1" applyAlignment="1">
      <alignment horizontal="right"/>
    </xf>
    <xf numFmtId="7" fontId="21"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xf numFmtId="7" fontId="0" fillId="0" borderId="0" xfId="3" applyFont="1" applyFill="1" applyBorder="1" applyAlignment="1"/>
    <xf numFmtId="8" fontId="22" fillId="0" borderId="0" xfId="0" applyNumberFormat="1" applyFont="1" applyAlignment="1"/>
    <xf numFmtId="10" fontId="0" fillId="0" borderId="0" xfId="8" applyFont="1" applyAlignment="1"/>
    <xf numFmtId="7" fontId="23" fillId="0" borderId="0" xfId="0" applyNumberFormat="1" applyFont="1" applyAlignment="1"/>
    <xf numFmtId="164" fontId="22" fillId="0" borderId="0" xfId="0" applyNumberFormat="1" applyFont="1" applyFill="1" applyBorder="1" applyAlignment="1">
      <alignment horizontal="center"/>
    </xf>
    <xf numFmtId="164" fontId="22"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25" fillId="0" borderId="0" xfId="11" applyFont="1"/>
    <xf numFmtId="0" fontId="17" fillId="0" borderId="0" xfId="11" applyFont="1"/>
    <xf numFmtId="2" fontId="17" fillId="0" borderId="0" xfId="11" applyNumberFormat="1" applyFont="1"/>
    <xf numFmtId="44" fontId="17" fillId="0" borderId="0" xfId="12" applyFont="1"/>
    <xf numFmtId="0" fontId="17" fillId="0" borderId="23" xfId="11" applyFont="1" applyBorder="1"/>
    <xf numFmtId="0" fontId="9" fillId="0" borderId="26" xfId="11" applyFont="1" applyBorder="1" applyAlignment="1">
      <alignment horizontal="center" wrapText="1"/>
    </xf>
    <xf numFmtId="2" fontId="9" fillId="0" borderId="26" xfId="11" applyNumberFormat="1" applyFont="1" applyBorder="1" applyAlignment="1">
      <alignment horizontal="center" wrapText="1"/>
    </xf>
    <xf numFmtId="44" fontId="9" fillId="0" borderId="26" xfId="12" applyFont="1" applyBorder="1" applyAlignment="1">
      <alignment horizontal="center" wrapText="1"/>
    </xf>
    <xf numFmtId="0" fontId="26" fillId="0" borderId="0" xfId="11" applyFont="1" applyAlignment="1">
      <alignment horizontal="center" wrapText="1"/>
    </xf>
    <xf numFmtId="0" fontId="17" fillId="0" borderId="27" xfId="11" applyFont="1" applyBorder="1"/>
    <xf numFmtId="0" fontId="17" fillId="0" borderId="13" xfId="11" applyFont="1" applyBorder="1"/>
    <xf numFmtId="0" fontId="11" fillId="0" borderId="0" xfId="11" applyFont="1"/>
    <xf numFmtId="10" fontId="17" fillId="0" borderId="0" xfId="13" applyNumberFormat="1" applyFont="1"/>
    <xf numFmtId="0" fontId="9" fillId="0" borderId="27" xfId="11" applyFont="1" applyBorder="1"/>
    <xf numFmtId="2" fontId="9" fillId="0" borderId="27" xfId="11" applyNumberFormat="1" applyFont="1" applyBorder="1"/>
    <xf numFmtId="44" fontId="9" fillId="0" borderId="27" xfId="12" applyFont="1" applyBorder="1"/>
    <xf numFmtId="0" fontId="11" fillId="0" borderId="0" xfId="11" applyFont="1" applyFill="1" applyBorder="1" applyAlignment="1">
      <alignment horizontal="left"/>
    </xf>
    <xf numFmtId="0" fontId="17" fillId="0" borderId="0" xfId="11" applyFont="1" applyBorder="1"/>
    <xf numFmtId="2" fontId="17" fillId="0" borderId="0" xfId="11" applyNumberFormat="1" applyFont="1" applyBorder="1"/>
    <xf numFmtId="44" fontId="17" fillId="0" borderId="0" xfId="12" applyFont="1" applyBorder="1"/>
    <xf numFmtId="0" fontId="17" fillId="0" borderId="0" xfId="11" applyFont="1" applyFill="1" applyBorder="1"/>
    <xf numFmtId="0" fontId="9" fillId="0" borderId="28" xfId="11" applyFont="1" applyBorder="1"/>
    <xf numFmtId="2" fontId="9" fillId="0" borderId="28" xfId="11" applyNumberFormat="1" applyFont="1" applyBorder="1"/>
    <xf numFmtId="44" fontId="9" fillId="0" borderId="28" xfId="12" applyFont="1" applyBorder="1"/>
    <xf numFmtId="2" fontId="25" fillId="0" borderId="0" xfId="11" applyNumberFormat="1" applyFont="1"/>
    <xf numFmtId="44" fontId="25" fillId="0" borderId="0" xfId="12" applyFont="1"/>
    <xf numFmtId="0" fontId="0" fillId="0" borderId="0" xfId="11" applyFont="1"/>
    <xf numFmtId="0" fontId="0" fillId="0" borderId="0" xfId="11" applyFont="1" applyBorder="1"/>
    <xf numFmtId="0" fontId="8" fillId="0" borderId="0" xfId="19" applyFont="1"/>
    <xf numFmtId="0" fontId="8" fillId="0" borderId="14" xfId="19" applyFont="1" applyBorder="1" applyAlignment="1">
      <alignment horizontal="center" wrapText="1"/>
    </xf>
    <xf numFmtId="0" fontId="24" fillId="0" borderId="0" xfId="19" applyFont="1"/>
    <xf numFmtId="44" fontId="8" fillId="0" borderId="0" xfId="20" applyFont="1"/>
    <xf numFmtId="0" fontId="8" fillId="0" borderId="0" xfId="19" quotePrefix="1" applyFont="1" applyProtection="1"/>
    <xf numFmtId="44" fontId="30" fillId="0" borderId="0" xfId="20" applyFont="1" applyProtection="1"/>
    <xf numFmtId="0" fontId="8" fillId="0" borderId="0" xfId="19" quotePrefix="1" applyFont="1"/>
    <xf numFmtId="44" fontId="30" fillId="0" borderId="0" xfId="20" applyFont="1"/>
    <xf numFmtId="0" fontId="8" fillId="0" borderId="0" xfId="19" applyFont="1" applyBorder="1"/>
    <xf numFmtId="44" fontId="30" fillId="0" borderId="0" xfId="20" applyFont="1" applyBorder="1"/>
    <xf numFmtId="0" fontId="32" fillId="0" borderId="0" xfId="19" applyFont="1"/>
    <xf numFmtId="0" fontId="34" fillId="0" borderId="0" xfId="11" applyFont="1" applyBorder="1"/>
    <xf numFmtId="0" fontId="35" fillId="0" borderId="0" xfId="11" applyFont="1" applyBorder="1"/>
    <xf numFmtId="0" fontId="32" fillId="0" borderId="0" xfId="19" applyFont="1" applyBorder="1"/>
    <xf numFmtId="0" fontId="8" fillId="0" borderId="0" xfId="19" applyFont="1" applyAlignment="1">
      <alignment horizontal="center"/>
    </xf>
    <xf numFmtId="44" fontId="24" fillId="8" borderId="25" xfId="10" applyNumberFormat="1" applyFill="1" applyAlignment="1"/>
    <xf numFmtId="44" fontId="24" fillId="8" borderId="25" xfId="10" applyNumberFormat="1" applyFill="1" applyAlignment="1" applyProtection="1"/>
    <xf numFmtId="0" fontId="35" fillId="8" borderId="0" xfId="11" applyFont="1" applyFill="1" applyBorder="1" applyAlignment="1">
      <alignment horizontal="left"/>
    </xf>
    <xf numFmtId="0" fontId="34" fillId="8" borderId="0" xfId="11" applyFont="1" applyFill="1"/>
    <xf numFmtId="44" fontId="34" fillId="8" borderId="0" xfId="12" applyFont="1" applyFill="1"/>
    <xf numFmtId="10" fontId="34" fillId="8" borderId="0" xfId="13" applyNumberFormat="1" applyFont="1" applyFill="1"/>
    <xf numFmtId="0" fontId="33" fillId="8" borderId="0" xfId="11" applyFont="1" applyFill="1"/>
    <xf numFmtId="2" fontId="34" fillId="8" borderId="0" xfId="11" applyNumberFormat="1" applyFont="1" applyFill="1"/>
    <xf numFmtId="44" fontId="30" fillId="8" borderId="0" xfId="20" applyFont="1" applyFill="1" applyProtection="1"/>
    <xf numFmtId="0" fontId="34" fillId="8" borderId="0" xfId="11" applyFont="1" applyFill="1" applyBorder="1"/>
    <xf numFmtId="44" fontId="34" fillId="8" borderId="0" xfId="12" applyFont="1" applyFill="1" applyBorder="1"/>
    <xf numFmtId="0" fontId="24" fillId="8" borderId="25" xfId="10" applyFill="1"/>
    <xf numFmtId="2" fontId="24" fillId="8" borderId="25" xfId="10" applyNumberFormat="1" applyFill="1"/>
    <xf numFmtId="44" fontId="24" fillId="8" borderId="25" xfId="10" applyNumberFormat="1" applyFill="1"/>
    <xf numFmtId="44" fontId="24" fillId="8" borderId="25" xfId="10" applyNumberFormat="1" applyFill="1" applyProtection="1"/>
    <xf numFmtId="0" fontId="38" fillId="0" borderId="0" xfId="0" applyFont="1" applyAlignment="1" applyProtection="1">
      <protection locked="0"/>
    </xf>
    <xf numFmtId="0" fontId="38" fillId="0" borderId="0" xfId="0" applyFont="1" applyAlignment="1" applyProtection="1">
      <alignment horizontal="center" wrapText="1"/>
      <protection locked="0"/>
    </xf>
    <xf numFmtId="0" fontId="38" fillId="0" borderId="0" xfId="0" applyFont="1" applyAlignment="1">
      <alignment horizontal="center" wrapText="1"/>
    </xf>
    <xf numFmtId="0" fontId="38" fillId="0" borderId="0" xfId="0" applyFont="1" applyAlignment="1"/>
    <xf numFmtId="43" fontId="38" fillId="0" borderId="0" xfId="9" applyFont="1" applyAlignment="1"/>
    <xf numFmtId="168" fontId="38" fillId="0" borderId="0" xfId="9" applyNumberFormat="1" applyFont="1" applyAlignment="1"/>
    <xf numFmtId="0" fontId="34" fillId="0" borderId="0" xfId="0" applyFont="1" applyAlignment="1"/>
    <xf numFmtId="168" fontId="38" fillId="0" borderId="0" xfId="0" applyNumberFormat="1" applyFont="1" applyAlignment="1"/>
    <xf numFmtId="168" fontId="17" fillId="0" borderId="0" xfId="9" applyNumberFormat="1" applyFont="1"/>
    <xf numFmtId="0" fontId="38" fillId="0" borderId="0" xfId="11" applyFont="1" applyAlignment="1">
      <alignment horizontal="left"/>
    </xf>
    <xf numFmtId="43" fontId="38" fillId="0" borderId="0" xfId="9" applyFont="1" applyAlignment="1">
      <alignment horizontal="right"/>
    </xf>
    <xf numFmtId="43" fontId="8" fillId="0" borderId="0" xfId="9" applyFont="1" applyAlignment="1">
      <alignment horizontal="center"/>
    </xf>
    <xf numFmtId="0" fontId="8" fillId="0" borderId="0" xfId="19" applyFont="1" applyAlignment="1"/>
    <xf numFmtId="0" fontId="7" fillId="0" borderId="0" xfId="19" applyFont="1" applyAlignment="1"/>
    <xf numFmtId="0" fontId="0" fillId="0" borderId="0" xfId="11" applyFont="1" applyAlignment="1">
      <alignment horizontal="left"/>
    </xf>
    <xf numFmtId="43" fontId="38" fillId="11" borderId="0" xfId="9" applyFont="1" applyFill="1" applyAlignment="1"/>
    <xf numFmtId="0" fontId="41" fillId="12" borderId="0" xfId="0" applyFont="1" applyFill="1" applyAlignment="1" applyProtection="1">
      <protection locked="0"/>
    </xf>
    <xf numFmtId="0" fontId="41" fillId="0" borderId="0" xfId="0" applyFont="1" applyAlignment="1" applyProtection="1">
      <protection locked="0"/>
    </xf>
    <xf numFmtId="0" fontId="42" fillId="0" borderId="0" xfId="0" applyFont="1" applyBorder="1" applyAlignment="1" applyProtection="1">
      <alignment horizontal="center"/>
      <protection locked="0"/>
    </xf>
    <xf numFmtId="0" fontId="18" fillId="0" borderId="0" xfId="0" applyFont="1" applyAlignment="1" applyProtection="1">
      <protection locked="0"/>
    </xf>
    <xf numFmtId="0" fontId="18" fillId="12" borderId="0" xfId="0" applyFont="1" applyFill="1" applyAlignment="1" applyProtection="1">
      <alignment horizontal="center"/>
      <protection locked="0"/>
    </xf>
    <xf numFmtId="0" fontId="18" fillId="0" borderId="0" xfId="0" applyFont="1" applyAlignment="1" applyProtection="1">
      <alignment horizontal="center"/>
      <protection locked="0"/>
    </xf>
    <xf numFmtId="0" fontId="43" fillId="0" borderId="16" xfId="0" applyFont="1" applyFill="1" applyBorder="1" applyAlignment="1" applyProtection="1">
      <alignment horizontal="left"/>
      <protection locked="0"/>
    </xf>
    <xf numFmtId="0" fontId="41" fillId="0" borderId="16" xfId="0" applyFont="1" applyBorder="1" applyAlignment="1" applyProtection="1">
      <protection locked="0"/>
    </xf>
    <xf numFmtId="3" fontId="43" fillId="0" borderId="0" xfId="0" applyNumberFormat="1" applyFont="1" applyAlignment="1" applyProtection="1">
      <protection locked="0"/>
    </xf>
    <xf numFmtId="0" fontId="18" fillId="0" borderId="14" xfId="0" applyFont="1" applyBorder="1" applyAlignment="1" applyProtection="1">
      <alignment wrapText="1"/>
      <protection locked="0"/>
    </xf>
    <xf numFmtId="0" fontId="18" fillId="0" borderId="14" xfId="0" applyFont="1" applyBorder="1" applyAlignment="1" applyProtection="1">
      <alignment horizontal="center" wrapText="1"/>
      <protection locked="0"/>
    </xf>
    <xf numFmtId="0" fontId="18" fillId="0" borderId="15" xfId="0" applyFont="1" applyBorder="1" applyAlignment="1" applyProtection="1">
      <alignment horizontal="center" wrapText="1"/>
      <protection locked="0"/>
    </xf>
    <xf numFmtId="0" fontId="18" fillId="12" borderId="0" xfId="0" applyFont="1" applyFill="1" applyBorder="1" applyAlignment="1" applyProtection="1">
      <protection locked="0"/>
    </xf>
    <xf numFmtId="1" fontId="41" fillId="0" borderId="0" xfId="0" applyNumberFormat="1" applyFont="1" applyAlignment="1" applyProtection="1">
      <alignment horizontal="center"/>
      <protection locked="0"/>
    </xf>
    <xf numFmtId="0" fontId="41" fillId="0" borderId="0" xfId="0" applyFont="1" applyAlignment="1" applyProtection="1">
      <alignment horizontal="centerContinuous"/>
      <protection locked="0"/>
    </xf>
    <xf numFmtId="166" fontId="43" fillId="0" borderId="0" xfId="0" applyNumberFormat="1" applyFont="1" applyAlignment="1" applyProtection="1">
      <protection locked="0"/>
    </xf>
    <xf numFmtId="0" fontId="45" fillId="12" borderId="0" xfId="7" applyFont="1" applyFill="1" applyAlignment="1" applyProtection="1">
      <protection locked="0"/>
    </xf>
    <xf numFmtId="0" fontId="45" fillId="12" borderId="0" xfId="7" applyFont="1" applyFill="1" applyAlignment="1" applyProtection="1">
      <alignment horizontal="left"/>
      <protection locked="0"/>
    </xf>
    <xf numFmtId="1" fontId="46" fillId="3" borderId="14" xfId="0" applyNumberFormat="1" applyFont="1" applyFill="1" applyBorder="1" applyAlignment="1" applyProtection="1">
      <protection locked="0"/>
    </xf>
    <xf numFmtId="2" fontId="46" fillId="3" borderId="14" xfId="0" applyNumberFormat="1" applyFont="1" applyFill="1" applyBorder="1" applyAlignment="1" applyProtection="1">
      <protection locked="0"/>
    </xf>
    <xf numFmtId="0" fontId="47" fillId="0" borderId="17" xfId="0" applyFont="1" applyBorder="1" applyAlignment="1">
      <alignment horizontal="left"/>
    </xf>
    <xf numFmtId="0" fontId="47" fillId="0" borderId="14" xfId="0" applyFont="1" applyBorder="1" applyAlignment="1">
      <alignment horizontal="left"/>
    </xf>
    <xf numFmtId="0" fontId="24" fillId="13" borderId="30" xfId="10" applyFont="1" applyFill="1" applyBorder="1" applyAlignment="1" applyProtection="1">
      <protection locked="0"/>
    </xf>
    <xf numFmtId="0" fontId="46" fillId="0" borderId="0" xfId="0" applyFont="1" applyBorder="1" applyAlignment="1" applyProtection="1">
      <protection locked="0"/>
    </xf>
    <xf numFmtId="0" fontId="41" fillId="12" borderId="0" xfId="0" applyFont="1" applyFill="1" applyBorder="1" applyAlignment="1" applyProtection="1">
      <protection locked="0"/>
    </xf>
    <xf numFmtId="0" fontId="42" fillId="0" borderId="0" xfId="0" applyFont="1" applyFill="1" applyAlignment="1" applyProtection="1">
      <protection locked="0"/>
    </xf>
    <xf numFmtId="0" fontId="44" fillId="0" borderId="0" xfId="0" applyFont="1" applyAlignment="1" applyProtection="1">
      <protection locked="0"/>
    </xf>
    <xf numFmtId="1" fontId="44" fillId="0" borderId="0" xfId="0" applyNumberFormat="1" applyFont="1" applyAlignment="1" applyProtection="1">
      <protection locked="0"/>
    </xf>
    <xf numFmtId="1" fontId="41" fillId="0" borderId="0" xfId="0" applyNumberFormat="1" applyFont="1" applyAlignment="1" applyProtection="1">
      <protection locked="0"/>
    </xf>
    <xf numFmtId="0" fontId="18" fillId="12" borderId="0" xfId="0" applyFont="1" applyFill="1" applyBorder="1" applyAlignment="1" applyProtection="1">
      <alignment horizontal="centerContinuous"/>
      <protection locked="0"/>
    </xf>
    <xf numFmtId="0" fontId="18" fillId="12" borderId="0" xfId="0" applyFont="1" applyFill="1" applyBorder="1" applyAlignment="1" applyProtection="1">
      <alignment horizontal="left"/>
      <protection locked="0"/>
    </xf>
    <xf numFmtId="0" fontId="41" fillId="0" borderId="0" xfId="0" applyFont="1" applyAlignment="1" applyProtection="1">
      <protection locked="0"/>
    </xf>
    <xf numFmtId="0" fontId="41" fillId="0" borderId="0" xfId="0" applyFont="1" applyAlignment="1"/>
    <xf numFmtId="0" fontId="41" fillId="0" borderId="0" xfId="0" applyFont="1" applyAlignment="1">
      <alignment wrapText="1"/>
    </xf>
    <xf numFmtId="7" fontId="41" fillId="0" borderId="0" xfId="3" applyFont="1" applyAlignment="1"/>
    <xf numFmtId="7" fontId="17" fillId="0" borderId="0" xfId="3" applyFont="1"/>
    <xf numFmtId="10" fontId="41" fillId="0" borderId="0" xfId="8" applyFont="1" applyAlignment="1"/>
    <xf numFmtId="43" fontId="41" fillId="0" borderId="0" xfId="9" applyFont="1" applyAlignment="1"/>
    <xf numFmtId="43" fontId="41" fillId="0" borderId="0" xfId="9" applyFont="1" applyAlignment="1">
      <alignment horizontal="left" indent="1"/>
    </xf>
    <xf numFmtId="0" fontId="6" fillId="0" borderId="0" xfId="19" applyFont="1" applyAlignment="1"/>
    <xf numFmtId="7" fontId="8" fillId="0" borderId="0" xfId="3" applyFont="1" applyAlignment="1">
      <alignment horizontal="center"/>
    </xf>
    <xf numFmtId="7" fontId="41" fillId="0" borderId="0" xfId="0" applyNumberFormat="1" applyFont="1" applyAlignment="1"/>
    <xf numFmtId="43" fontId="41" fillId="0" borderId="0" xfId="0" applyNumberFormat="1" applyFont="1" applyAlignment="1"/>
    <xf numFmtId="0" fontId="41" fillId="0" borderId="0" xfId="0" applyFont="1" applyAlignment="1" applyProtection="1">
      <protection locked="0"/>
    </xf>
    <xf numFmtId="7" fontId="41" fillId="11" borderId="0" xfId="3" applyFont="1" applyFill="1" applyAlignment="1"/>
    <xf numFmtId="0" fontId="50" fillId="0" borderId="31" xfId="90" applyAlignment="1"/>
    <xf numFmtId="0" fontId="52" fillId="0" borderId="25" xfId="10" applyFont="1" applyAlignment="1"/>
    <xf numFmtId="7" fontId="52" fillId="0" borderId="25" xfId="10" applyNumberFormat="1" applyFont="1" applyAlignment="1"/>
    <xf numFmtId="0" fontId="52" fillId="11" borderId="25" xfId="10" applyFont="1" applyFill="1" applyAlignment="1"/>
    <xf numFmtId="10" fontId="39" fillId="15" borderId="29" xfId="91" applyNumberFormat="1" applyFont="1" applyAlignment="1" applyProtection="1">
      <protection locked="0"/>
    </xf>
    <xf numFmtId="3" fontId="51" fillId="15" borderId="29" xfId="91" applyNumberFormat="1" applyAlignment="1" applyProtection="1">
      <protection locked="0"/>
    </xf>
    <xf numFmtId="0" fontId="51" fillId="15" borderId="29" xfId="91" applyAlignment="1" applyProtection="1">
      <protection locked="0"/>
    </xf>
    <xf numFmtId="4" fontId="51" fillId="15" borderId="29" xfId="91" applyNumberFormat="1" applyAlignment="1" applyProtection="1">
      <protection locked="0"/>
    </xf>
    <xf numFmtId="7" fontId="51" fillId="15" borderId="29" xfId="91" applyNumberFormat="1" applyProtection="1">
      <protection locked="0"/>
    </xf>
    <xf numFmtId="10" fontId="51" fillId="15" borderId="29" xfId="91" applyNumberFormat="1" applyProtection="1">
      <protection locked="0"/>
    </xf>
    <xf numFmtId="0" fontId="51" fillId="15" borderId="29" xfId="91" applyAlignment="1" applyProtection="1">
      <alignment horizontal="center"/>
      <protection locked="0"/>
    </xf>
    <xf numFmtId="166" fontId="51" fillId="15" borderId="29" xfId="91" applyNumberFormat="1" applyAlignment="1" applyProtection="1">
      <protection locked="0"/>
    </xf>
    <xf numFmtId="0" fontId="5" fillId="16" borderId="0" xfId="92" applyAlignment="1" applyProtection="1">
      <protection locked="0"/>
    </xf>
    <xf numFmtId="3" fontId="5" fillId="16" borderId="0" xfId="92" applyNumberFormat="1" applyAlignment="1" applyProtection="1">
      <protection locked="0"/>
    </xf>
    <xf numFmtId="165" fontId="51" fillId="15" borderId="29" xfId="91" applyNumberFormat="1" applyAlignment="1" applyProtection="1">
      <protection locked="0"/>
    </xf>
    <xf numFmtId="1" fontId="51" fillId="15" borderId="29" xfId="91" applyNumberFormat="1" applyAlignment="1" applyProtection="1">
      <protection locked="0"/>
    </xf>
    <xf numFmtId="9" fontId="51" fillId="15" borderId="29" xfId="91" applyNumberFormat="1" applyAlignment="1" applyProtection="1">
      <protection locked="0"/>
    </xf>
    <xf numFmtId="43" fontId="51" fillId="15" borderId="29" xfId="91" applyNumberFormat="1" applyAlignment="1" applyProtection="1">
      <protection locked="0"/>
    </xf>
    <xf numFmtId="0" fontId="39" fillId="0" borderId="0" xfId="0" applyFont="1" applyAlignment="1"/>
    <xf numFmtId="0" fontId="39" fillId="0" borderId="0" xfId="0" applyFont="1" applyAlignment="1">
      <alignment horizontal="center" wrapText="1"/>
    </xf>
    <xf numFmtId="0" fontId="49" fillId="0" borderId="0" xfId="89" applyAlignment="1">
      <alignment horizontal="center"/>
    </xf>
    <xf numFmtId="0" fontId="41" fillId="0" borderId="0" xfId="0" applyFont="1" applyAlignment="1" applyProtection="1">
      <protection locked="0"/>
    </xf>
    <xf numFmtId="0" fontId="49" fillId="0" borderId="0" xfId="89" applyAlignment="1">
      <alignment horizontal="center"/>
    </xf>
    <xf numFmtId="0" fontId="24" fillId="0" borderId="0" xfId="19" applyFont="1"/>
    <xf numFmtId="0" fontId="41" fillId="0" borderId="0" xfId="0" applyFont="1" applyAlignment="1" applyProtection="1">
      <protection locked="0"/>
    </xf>
    <xf numFmtId="7" fontId="41" fillId="11" borderId="0" xfId="3" applyFont="1" applyFill="1" applyAlignment="1">
      <alignment horizontal="center"/>
    </xf>
    <xf numFmtId="0" fontId="18" fillId="0" borderId="14" xfId="0" applyFont="1" applyBorder="1" applyAlignment="1">
      <alignment horizontal="center"/>
    </xf>
    <xf numFmtId="0" fontId="50" fillId="0" borderId="31" xfId="90" applyAlignment="1">
      <alignment horizontal="center" wrapText="1"/>
    </xf>
    <xf numFmtId="7" fontId="50" fillId="0" borderId="31" xfId="90" applyNumberFormat="1" applyAlignment="1"/>
    <xf numFmtId="7" fontId="50" fillId="11" borderId="31" xfId="90" applyNumberFormat="1" applyFill="1" applyAlignment="1"/>
    <xf numFmtId="0" fontId="4" fillId="0" borderId="25" xfId="10" applyFont="1" applyAlignment="1"/>
    <xf numFmtId="0" fontId="18" fillId="0" borderId="17" xfId="0" applyFont="1" applyBorder="1" applyAlignment="1">
      <alignment horizontal="center" wrapText="1"/>
    </xf>
    <xf numFmtId="0" fontId="18" fillId="0" borderId="14" xfId="0" applyFont="1" applyBorder="1" applyAlignment="1">
      <alignment horizontal="center" wrapText="1"/>
    </xf>
    <xf numFmtId="7" fontId="18" fillId="0" borderId="14" xfId="3" applyFont="1" applyBorder="1" applyAlignment="1">
      <alignment horizontal="center" wrapText="1"/>
    </xf>
    <xf numFmtId="0" fontId="18" fillId="0" borderId="15" xfId="0" applyFont="1" applyBorder="1" applyAlignment="1">
      <alignment horizontal="center" wrapText="1"/>
    </xf>
    <xf numFmtId="7" fontId="41" fillId="0" borderId="0" xfId="3" applyFont="1"/>
    <xf numFmtId="7" fontId="24" fillId="0" borderId="25" xfId="10" applyNumberFormat="1" applyFont="1"/>
    <xf numFmtId="0" fontId="18" fillId="0" borderId="0" xfId="0" applyFont="1" applyAlignment="1"/>
    <xf numFmtId="7" fontId="18" fillId="0" borderId="0" xfId="3" applyFont="1"/>
    <xf numFmtId="7" fontId="18" fillId="0" borderId="0" xfId="0" applyNumberFormat="1" applyFont="1" applyAlignment="1"/>
    <xf numFmtId="44" fontId="41" fillId="0" borderId="0" xfId="3" applyNumberFormat="1" applyFont="1" applyAlignment="1"/>
    <xf numFmtId="2" fontId="51" fillId="15" borderId="29" xfId="91" applyNumberFormat="1" applyProtection="1">
      <protection locked="0"/>
    </xf>
    <xf numFmtId="7" fontId="51" fillId="15" borderId="29" xfId="3" applyFont="1" applyFill="1" applyBorder="1" applyProtection="1">
      <protection locked="0"/>
    </xf>
    <xf numFmtId="7" fontId="51" fillId="0" borderId="29" xfId="91" applyNumberFormat="1" applyFill="1" applyProtection="1">
      <protection locked="0"/>
    </xf>
    <xf numFmtId="5" fontId="41" fillId="0" borderId="0" xfId="3" applyNumberFormat="1" applyFont="1" applyAlignment="1"/>
    <xf numFmtId="4" fontId="41" fillId="0" borderId="0" xfId="0" applyNumberFormat="1" applyFont="1" applyAlignment="1" applyProtection="1"/>
    <xf numFmtId="37" fontId="41" fillId="0" borderId="0" xfId="3" applyNumberFormat="1" applyFont="1" applyProtection="1"/>
    <xf numFmtId="165" fontId="41" fillId="0" borderId="0" xfId="0" applyNumberFormat="1" applyFont="1" applyAlignment="1" applyProtection="1"/>
    <xf numFmtId="7" fontId="44" fillId="0" borderId="0" xfId="0" applyNumberFormat="1" applyFont="1" applyAlignment="1" applyProtection="1"/>
    <xf numFmtId="165" fontId="37" fillId="10" borderId="29" xfId="26" applyNumberFormat="1" applyFont="1" applyAlignment="1" applyProtection="1"/>
    <xf numFmtId="7" fontId="37" fillId="10" borderId="29" xfId="26" applyNumberFormat="1" applyFont="1" applyAlignment="1" applyProtection="1"/>
    <xf numFmtId="165" fontId="43" fillId="0" borderId="0" xfId="0" applyNumberFormat="1" applyFont="1" applyAlignment="1" applyProtection="1"/>
    <xf numFmtId="5" fontId="43" fillId="0" borderId="0" xfId="3" applyNumberFormat="1" applyFont="1" applyAlignment="1" applyProtection="1"/>
    <xf numFmtId="7" fontId="44" fillId="3" borderId="15" xfId="0" applyNumberFormat="1" applyFont="1" applyFill="1" applyBorder="1" applyAlignment="1" applyProtection="1"/>
    <xf numFmtId="165" fontId="41" fillId="0" borderId="0" xfId="0" applyNumberFormat="1" applyFont="1" applyFill="1" applyBorder="1" applyAlignment="1" applyProtection="1"/>
    <xf numFmtId="165" fontId="18" fillId="3" borderId="14" xfId="0" applyNumberFormat="1" applyFont="1" applyFill="1" applyBorder="1" applyAlignment="1" applyProtection="1"/>
    <xf numFmtId="43" fontId="43" fillId="0" borderId="0" xfId="9" applyFont="1" applyAlignment="1" applyProtection="1"/>
    <xf numFmtId="43" fontId="43" fillId="0" borderId="0" xfId="9" applyFont="1" applyBorder="1" applyAlignment="1" applyProtection="1"/>
    <xf numFmtId="7" fontId="51" fillId="0" borderId="29" xfId="91" applyNumberFormat="1" applyFill="1" applyProtection="1"/>
    <xf numFmtId="166" fontId="43" fillId="0" borderId="0" xfId="0" applyNumberFormat="1" applyFont="1" applyAlignment="1" applyProtection="1"/>
    <xf numFmtId="3" fontId="43" fillId="0" borderId="0" xfId="0" applyNumberFormat="1" applyFont="1" applyAlignment="1" applyProtection="1"/>
    <xf numFmtId="0" fontId="41" fillId="0" borderId="0" xfId="0" applyFont="1" applyAlignment="1" applyProtection="1"/>
    <xf numFmtId="0" fontId="40" fillId="0" borderId="0" xfId="0" applyFont="1" applyAlignment="1" applyProtection="1"/>
    <xf numFmtId="0" fontId="41" fillId="0" borderId="0" xfId="0" applyFont="1" applyBorder="1" applyAlignment="1" applyProtection="1"/>
    <xf numFmtId="7" fontId="41" fillId="0" borderId="18" xfId="3" applyFont="1" applyBorder="1" applyAlignment="1" applyProtection="1"/>
    <xf numFmtId="3" fontId="43" fillId="0" borderId="16" xfId="0" applyNumberFormat="1" applyFont="1" applyBorder="1" applyAlignment="1" applyProtection="1"/>
    <xf numFmtId="7" fontId="41" fillId="0" borderId="0" xfId="3" applyFont="1" applyProtection="1"/>
    <xf numFmtId="7" fontId="43" fillId="0" borderId="0" xfId="3" applyFont="1" applyProtection="1"/>
    <xf numFmtId="7" fontId="41" fillId="0" borderId="16" xfId="3" applyFont="1" applyBorder="1" applyProtection="1"/>
    <xf numFmtId="7" fontId="24" fillId="13" borderId="30" xfId="10" applyNumberFormat="1" applyFont="1" applyFill="1" applyBorder="1" applyAlignment="1" applyProtection="1"/>
    <xf numFmtId="166" fontId="24" fillId="13" borderId="30" xfId="10" applyNumberFormat="1" applyFont="1" applyFill="1" applyBorder="1" applyAlignment="1" applyProtection="1"/>
    <xf numFmtId="0" fontId="43" fillId="0" borderId="4" xfId="0" applyFont="1" applyFill="1" applyBorder="1" applyAlignment="1" applyProtection="1">
      <alignment horizontal="centerContinuous"/>
    </xf>
    <xf numFmtId="0" fontId="43" fillId="0" borderId="9" xfId="0" applyFont="1" applyFill="1" applyBorder="1" applyAlignment="1" applyProtection="1">
      <alignment horizontal="centerContinuous"/>
    </xf>
    <xf numFmtId="0" fontId="18" fillId="0" borderId="12" xfId="0" applyFont="1" applyFill="1" applyBorder="1" applyAlignment="1" applyProtection="1">
      <alignment horizontal="centerContinuous"/>
    </xf>
    <xf numFmtId="3" fontId="18" fillId="0" borderId="12" xfId="0" applyNumberFormat="1" applyFont="1" applyFill="1" applyBorder="1" applyAlignment="1" applyProtection="1">
      <alignment horizontal="centerContinuous"/>
    </xf>
    <xf numFmtId="10" fontId="48" fillId="0" borderId="0" xfId="8" applyFont="1" applyProtection="1"/>
    <xf numFmtId="1" fontId="43" fillId="0" borderId="0" xfId="0" applyNumberFormat="1" applyFont="1" applyAlignment="1" applyProtection="1"/>
    <xf numFmtId="0" fontId="41" fillId="0" borderId="0" xfId="0" applyFont="1" applyAlignment="1" applyProtection="1">
      <alignment horizontal="left"/>
    </xf>
    <xf numFmtId="165" fontId="41" fillId="0" borderId="6" xfId="0" applyNumberFormat="1" applyFont="1" applyFill="1" applyBorder="1" applyAlignment="1" applyProtection="1"/>
    <xf numFmtId="0" fontId="18" fillId="0" borderId="0" xfId="0" applyFont="1" applyBorder="1" applyAlignment="1" applyProtection="1"/>
    <xf numFmtId="165" fontId="18" fillId="0" borderId="0" xfId="0" applyNumberFormat="1" applyFont="1" applyBorder="1" applyAlignment="1" applyProtection="1"/>
    <xf numFmtId="1" fontId="46" fillId="0" borderId="0" xfId="0" applyNumberFormat="1" applyFont="1" applyBorder="1" applyAlignment="1" applyProtection="1"/>
    <xf numFmtId="165" fontId="46" fillId="0" borderId="0" xfId="0" applyNumberFormat="1" applyFont="1" applyBorder="1" applyAlignment="1" applyProtection="1"/>
    <xf numFmtId="0" fontId="41" fillId="0" borderId="1" xfId="0" applyFont="1" applyFill="1" applyBorder="1" applyAlignment="1" applyProtection="1"/>
    <xf numFmtId="0" fontId="46" fillId="8" borderId="18" xfId="0" applyFont="1" applyFill="1" applyBorder="1" applyAlignment="1" applyProtection="1">
      <alignment horizontal="left" wrapText="1"/>
    </xf>
    <xf numFmtId="0" fontId="41" fillId="0" borderId="0" xfId="0" applyFont="1" applyFill="1" applyBorder="1" applyAlignment="1" applyProtection="1">
      <alignment horizontal="center"/>
    </xf>
    <xf numFmtId="0" fontId="46" fillId="8" borderId="16" xfId="0" applyFont="1" applyFill="1" applyBorder="1" applyAlignment="1" applyProtection="1">
      <alignment horizontal="centerContinuous" wrapText="1"/>
    </xf>
    <xf numFmtId="166" fontId="41" fillId="0" borderId="0" xfId="0" applyNumberFormat="1" applyFont="1" applyAlignment="1" applyProtection="1"/>
    <xf numFmtId="7" fontId="41" fillId="0" borderId="0" xfId="3" applyFont="1" applyAlignment="1" applyProtection="1"/>
    <xf numFmtId="0" fontId="18" fillId="0" borderId="16" xfId="0" applyFont="1" applyBorder="1" applyAlignment="1" applyProtection="1">
      <alignment horizontal="left"/>
    </xf>
    <xf numFmtId="166" fontId="41" fillId="0" borderId="16" xfId="0" applyNumberFormat="1" applyFont="1" applyBorder="1" applyAlignment="1" applyProtection="1"/>
    <xf numFmtId="7" fontId="41" fillId="0" borderId="16" xfId="3" applyFont="1" applyBorder="1" applyAlignment="1" applyProtection="1"/>
    <xf numFmtId="0" fontId="41" fillId="0" borderId="16" xfId="0" applyFont="1" applyBorder="1" applyAlignment="1" applyProtection="1">
      <alignment horizontal="left"/>
    </xf>
    <xf numFmtId="0" fontId="41" fillId="0" borderId="0" xfId="0" applyFont="1" applyBorder="1" applyAlignment="1" applyProtection="1">
      <alignment horizontal="left"/>
    </xf>
    <xf numFmtId="166" fontId="41" fillId="0" borderId="0" xfId="0" applyNumberFormat="1" applyFont="1" applyBorder="1" applyAlignment="1" applyProtection="1"/>
    <xf numFmtId="7" fontId="41" fillId="0" borderId="0" xfId="3" applyFont="1" applyBorder="1" applyAlignment="1" applyProtection="1"/>
    <xf numFmtId="0" fontId="41" fillId="0" borderId="0" xfId="0" applyFont="1" applyAlignment="1" applyProtection="1">
      <alignment horizontal="left" vertical="center"/>
    </xf>
    <xf numFmtId="7" fontId="41" fillId="0" borderId="0" xfId="3" applyFont="1" applyAlignment="1" applyProtection="1">
      <alignment vertical="center"/>
    </xf>
    <xf numFmtId="0" fontId="41" fillId="0" borderId="0" xfId="0" applyFont="1" applyFill="1" applyBorder="1" applyAlignment="1" applyProtection="1">
      <alignment vertical="center"/>
    </xf>
    <xf numFmtId="7" fontId="41" fillId="0" borderId="0" xfId="3" applyFont="1" applyBorder="1" applyAlignment="1" applyProtection="1">
      <alignment vertical="center"/>
    </xf>
    <xf numFmtId="0" fontId="41" fillId="0" borderId="0" xfId="0" applyFont="1" applyFill="1" applyBorder="1" applyAlignment="1" applyProtection="1"/>
    <xf numFmtId="0" fontId="0" fillId="0" borderId="0" xfId="0" applyAlignment="1" applyProtection="1"/>
    <xf numFmtId="0" fontId="14" fillId="0" borderId="0" xfId="0" applyFont="1" applyAlignment="1" applyProtection="1"/>
    <xf numFmtId="0" fontId="16" fillId="0" borderId="0" xfId="7" applyAlignment="1" applyProtection="1"/>
    <xf numFmtId="0" fontId="14" fillId="0" borderId="20" xfId="0" applyFont="1" applyBorder="1" applyAlignment="1" applyProtection="1">
      <alignment horizontal="center" wrapText="1"/>
    </xf>
    <xf numFmtId="0" fontId="14" fillId="0" borderId="21" xfId="0" applyFont="1" applyBorder="1" applyAlignment="1" applyProtection="1">
      <alignment horizontal="center" wrapText="1"/>
    </xf>
    <xf numFmtId="165" fontId="0" fillId="0" borderId="0" xfId="0" applyNumberFormat="1" applyAlignment="1" applyProtection="1"/>
    <xf numFmtId="4" fontId="12" fillId="0" borderId="0" xfId="0" applyNumberFormat="1" applyFont="1" applyAlignment="1" applyProtection="1"/>
    <xf numFmtId="165" fontId="12" fillId="0" borderId="0" xfId="0" applyNumberFormat="1" applyFont="1" applyAlignment="1" applyProtection="1"/>
    <xf numFmtId="10" fontId="0" fillId="0" borderId="0" xfId="8" applyFont="1" applyProtection="1"/>
    <xf numFmtId="7" fontId="0" fillId="0" borderId="0" xfId="3" applyFont="1" applyProtection="1"/>
    <xf numFmtId="8" fontId="0" fillId="0" borderId="0" xfId="0" applyNumberFormat="1" applyAlignment="1" applyProtection="1"/>
    <xf numFmtId="3" fontId="14" fillId="0" borderId="14" xfId="0" applyNumberFormat="1" applyFont="1" applyBorder="1" applyAlignment="1" applyProtection="1"/>
    <xf numFmtId="165" fontId="15" fillId="0" borderId="14" xfId="0" applyNumberFormat="1" applyFont="1" applyBorder="1" applyAlignment="1" applyProtection="1"/>
    <xf numFmtId="165" fontId="14" fillId="0" borderId="14" xfId="0" applyNumberFormat="1" applyFont="1" applyBorder="1" applyAlignment="1" applyProtection="1"/>
    <xf numFmtId="165" fontId="15" fillId="0" borderId="15" xfId="0" applyNumberFormat="1" applyFont="1" applyBorder="1" applyAlignment="1" applyProtection="1"/>
    <xf numFmtId="0" fontId="0" fillId="0" borderId="14" xfId="0" applyBorder="1" applyAlignment="1" applyProtection="1"/>
    <xf numFmtId="7" fontId="0" fillId="0" borderId="14" xfId="0" applyNumberFormat="1" applyBorder="1" applyAlignment="1" applyProtection="1"/>
    <xf numFmtId="165" fontId="14" fillId="0" borderId="15" xfId="0" applyNumberFormat="1" applyFont="1" applyFill="1" applyBorder="1" applyAlignment="1" applyProtection="1"/>
    <xf numFmtId="0" fontId="0" fillId="0" borderId="0" xfId="0" applyBorder="1" applyAlignment="1" applyProtection="1"/>
    <xf numFmtId="3" fontId="0" fillId="0" borderId="0" xfId="0" applyNumberFormat="1" applyBorder="1" applyAlignment="1" applyProtection="1"/>
    <xf numFmtId="165" fontId="12" fillId="0" borderId="0" xfId="0" applyNumberFormat="1" applyFont="1" applyBorder="1" applyAlignment="1" applyProtection="1"/>
    <xf numFmtId="165" fontId="0" fillId="0" borderId="0" xfId="0" applyNumberFormat="1" applyBorder="1" applyAlignment="1" applyProtection="1"/>
    <xf numFmtId="1" fontId="12" fillId="0" borderId="0" xfId="0" applyNumberFormat="1" applyFont="1" applyAlignment="1" applyProtection="1"/>
    <xf numFmtId="3" fontId="12" fillId="0" borderId="0" xfId="0" applyNumberFormat="1" applyFont="1" applyAlignment="1" applyProtection="1"/>
    <xf numFmtId="0" fontId="14" fillId="0" borderId="17" xfId="0" applyFont="1" applyBorder="1" applyAlignment="1" applyProtection="1">
      <alignment horizontal="left"/>
    </xf>
    <xf numFmtId="0" fontId="14" fillId="0" borderId="14" xfId="0" applyFont="1" applyBorder="1" applyAlignment="1" applyProtection="1">
      <alignment horizontal="left"/>
    </xf>
    <xf numFmtId="3" fontId="14" fillId="0" borderId="14" xfId="0" applyNumberFormat="1" applyFont="1" applyBorder="1" applyAlignment="1" applyProtection="1">
      <alignment horizontal="left"/>
    </xf>
    <xf numFmtId="165" fontId="15" fillId="0" borderId="14" xfId="0" applyNumberFormat="1" applyFont="1" applyBorder="1" applyAlignment="1" applyProtection="1">
      <alignment horizontal="left"/>
    </xf>
    <xf numFmtId="7" fontId="15" fillId="0" borderId="15" xfId="3" applyFont="1" applyBorder="1" applyProtection="1"/>
    <xf numFmtId="1" fontId="15" fillId="0" borderId="14" xfId="0" applyNumberFormat="1" applyFont="1" applyBorder="1" applyAlignment="1" applyProtection="1"/>
    <xf numFmtId="8" fontId="0" fillId="0" borderId="14" xfId="0" applyNumberFormat="1" applyBorder="1" applyAlignment="1" applyProtection="1"/>
    <xf numFmtId="165" fontId="15" fillId="0" borderId="15" xfId="0" applyNumberFormat="1" applyFont="1" applyFill="1" applyBorder="1" applyAlignment="1" applyProtection="1"/>
    <xf numFmtId="1" fontId="0" fillId="0" borderId="0" xfId="0" applyNumberFormat="1" applyAlignment="1" applyProtection="1"/>
    <xf numFmtId="0" fontId="14" fillId="0" borderId="0" xfId="0" applyFont="1" applyBorder="1" applyAlignment="1" applyProtection="1">
      <alignment horizontal="left"/>
    </xf>
    <xf numFmtId="3" fontId="14" fillId="0" borderId="0" xfId="0" applyNumberFormat="1" applyFont="1" applyBorder="1" applyAlignment="1" applyProtection="1">
      <alignment horizontal="left"/>
    </xf>
    <xf numFmtId="165" fontId="15" fillId="0" borderId="0" xfId="0" applyNumberFormat="1" applyFont="1" applyBorder="1" applyAlignment="1" applyProtection="1">
      <alignment horizontal="left"/>
    </xf>
    <xf numFmtId="165" fontId="15" fillId="0" borderId="0" xfId="0" applyNumberFormat="1" applyFont="1" applyBorder="1" applyAlignment="1" applyProtection="1"/>
    <xf numFmtId="7" fontId="15" fillId="0" borderId="0" xfId="3" applyFont="1" applyBorder="1" applyProtection="1"/>
    <xf numFmtId="1" fontId="15" fillId="0" borderId="0" xfId="0" applyNumberFormat="1" applyFont="1" applyBorder="1" applyAlignment="1" applyProtection="1"/>
    <xf numFmtId="0" fontId="14" fillId="5" borderId="0" xfId="0" applyFont="1" applyFill="1" applyAlignment="1" applyProtection="1"/>
    <xf numFmtId="0" fontId="14" fillId="0" borderId="0" xfId="0" applyFont="1" applyFill="1" applyAlignment="1" applyProtection="1"/>
    <xf numFmtId="165" fontId="0" fillId="0" borderId="0" xfId="0" applyNumberFormat="1" applyFill="1" applyBorder="1" applyAlignment="1" applyProtection="1"/>
    <xf numFmtId="7" fontId="12" fillId="0" borderId="0" xfId="3" applyFont="1" applyFill="1" applyBorder="1" applyProtection="1"/>
    <xf numFmtId="1" fontId="12" fillId="0" borderId="0" xfId="0" applyNumberFormat="1" applyFont="1" applyBorder="1" applyAlignment="1" applyProtection="1"/>
    <xf numFmtId="0" fontId="14" fillId="0" borderId="22" xfId="0" applyFont="1" applyBorder="1" applyAlignment="1" applyProtection="1"/>
    <xf numFmtId="165" fontId="15" fillId="0" borderId="22" xfId="0" applyNumberFormat="1" applyFont="1" applyBorder="1" applyAlignment="1" applyProtection="1"/>
    <xf numFmtId="7" fontId="0" fillId="0" borderId="22" xfId="3" applyFont="1" applyBorder="1" applyProtection="1"/>
    <xf numFmtId="165" fontId="12" fillId="0" borderId="22" xfId="0" applyNumberFormat="1" applyFont="1" applyBorder="1" applyAlignment="1" applyProtection="1"/>
    <xf numFmtId="0" fontId="14" fillId="3" borderId="17" xfId="0" applyFont="1" applyFill="1" applyBorder="1" applyAlignment="1" applyProtection="1"/>
    <xf numFmtId="0" fontId="14" fillId="3" borderId="14" xfId="0" applyFont="1" applyFill="1" applyBorder="1" applyAlignment="1" applyProtection="1"/>
    <xf numFmtId="165" fontId="14" fillId="3" borderId="14" xfId="0" applyNumberFormat="1" applyFont="1" applyFill="1" applyBorder="1" applyAlignment="1" applyProtection="1"/>
    <xf numFmtId="8" fontId="14" fillId="3" borderId="14" xfId="0" applyNumberFormat="1" applyFont="1" applyFill="1" applyBorder="1" applyAlignment="1" applyProtection="1"/>
    <xf numFmtId="8" fontId="14" fillId="3" borderId="15" xfId="0" applyNumberFormat="1" applyFont="1" applyFill="1" applyBorder="1" applyAlignment="1" applyProtection="1"/>
    <xf numFmtId="7" fontId="0" fillId="0" borderId="0" xfId="3" applyFont="1" applyAlignment="1" applyProtection="1"/>
    <xf numFmtId="7" fontId="14" fillId="0" borderId="15" xfId="3" applyFont="1" applyBorder="1" applyProtection="1"/>
    <xf numFmtId="7" fontId="12" fillId="0" borderId="0" xfId="3" applyFont="1" applyProtection="1"/>
    <xf numFmtId="7" fontId="0" fillId="0" borderId="0" xfId="0" applyNumberFormat="1" applyAlignment="1" applyProtection="1"/>
    <xf numFmtId="0" fontId="0" fillId="0" borderId="0" xfId="0" applyAlignment="1" applyProtection="1">
      <alignment horizontal="left"/>
    </xf>
    <xf numFmtId="7" fontId="14" fillId="0" borderId="0" xfId="3" applyFont="1" applyBorder="1" applyProtection="1"/>
    <xf numFmtId="7" fontId="14" fillId="0" borderId="0" xfId="0" applyNumberFormat="1" applyFont="1" applyAlignment="1" applyProtection="1"/>
    <xf numFmtId="165" fontId="14" fillId="0" borderId="0" xfId="0" applyNumberFormat="1" applyFont="1" applyAlignment="1" applyProtection="1"/>
    <xf numFmtId="1" fontId="13" fillId="0" borderId="0" xfId="0" applyNumberFormat="1" applyFont="1" applyBorder="1" applyAlignment="1" applyProtection="1"/>
    <xf numFmtId="0" fontId="9" fillId="0" borderId="0" xfId="0" applyFont="1" applyBorder="1" applyAlignment="1" applyProtection="1"/>
    <xf numFmtId="0" fontId="11" fillId="0" borderId="0" xfId="0" applyFont="1" applyBorder="1" applyAlignment="1" applyProtection="1"/>
    <xf numFmtId="165" fontId="51" fillId="0" borderId="29" xfId="91" applyNumberFormat="1" applyFill="1" applyAlignment="1" applyProtection="1"/>
    <xf numFmtId="7" fontId="15" fillId="11" borderId="22" xfId="3" applyFont="1" applyFill="1" applyBorder="1" applyProtection="1">
      <protection locked="0"/>
    </xf>
    <xf numFmtId="1" fontId="15" fillId="11" borderId="22" xfId="0" applyNumberFormat="1" applyFont="1" applyFill="1" applyBorder="1" applyAlignment="1" applyProtection="1"/>
    <xf numFmtId="166" fontId="14" fillId="11" borderId="22" xfId="0" applyNumberFormat="1" applyFont="1" applyFill="1" applyBorder="1" applyAlignment="1" applyProtection="1"/>
    <xf numFmtId="43" fontId="38" fillId="0" borderId="0" xfId="9" applyFont="1" applyAlignment="1" applyProtection="1"/>
    <xf numFmtId="0" fontId="38" fillId="0" borderId="0" xfId="0" applyFont="1" applyAlignment="1" applyProtection="1"/>
    <xf numFmtId="43" fontId="51" fillId="15" borderId="29" xfId="91" applyNumberFormat="1" applyAlignment="1" applyProtection="1">
      <alignment horizontal="right"/>
      <protection locked="0"/>
    </xf>
    <xf numFmtId="44" fontId="51" fillId="15" borderId="29" xfId="91" applyNumberFormat="1" applyProtection="1">
      <protection locked="0"/>
    </xf>
    <xf numFmtId="1" fontId="51" fillId="15" borderId="29" xfId="91" applyNumberFormat="1" applyProtection="1">
      <protection locked="0"/>
    </xf>
    <xf numFmtId="43" fontId="51" fillId="15" borderId="29" xfId="91" applyNumberFormat="1" applyAlignment="1" applyProtection="1">
      <alignment horizontal="center"/>
      <protection locked="0"/>
    </xf>
    <xf numFmtId="43" fontId="51" fillId="15" borderId="29" xfId="91" applyNumberFormat="1" applyProtection="1">
      <protection locked="0"/>
    </xf>
    <xf numFmtId="0" fontId="3" fillId="0" borderId="0" xfId="19" applyFont="1" applyBorder="1"/>
    <xf numFmtId="0" fontId="51" fillId="15" borderId="29" xfId="91" applyFont="1" applyAlignment="1" applyProtection="1">
      <protection locked="0"/>
    </xf>
    <xf numFmtId="7" fontId="51" fillId="15" borderId="29" xfId="91" applyNumberFormat="1" applyFont="1" applyProtection="1">
      <protection locked="0"/>
    </xf>
    <xf numFmtId="0" fontId="24" fillId="15" borderId="25" xfId="10" applyFont="1" applyFill="1" applyAlignment="1" applyProtection="1">
      <protection locked="0"/>
    </xf>
    <xf numFmtId="7" fontId="24" fillId="15" borderId="25" xfId="10" applyNumberFormat="1" applyFont="1" applyFill="1" applyProtection="1">
      <protection locked="0"/>
    </xf>
    <xf numFmtId="2" fontId="41" fillId="9" borderId="0" xfId="22" applyNumberFormat="1" applyFont="1" applyFill="1" applyAlignment="1" applyProtection="1"/>
    <xf numFmtId="2" fontId="18" fillId="9" borderId="0" xfId="22" applyNumberFormat="1" applyFont="1" applyFill="1" applyAlignment="1" applyProtection="1"/>
    <xf numFmtId="2" fontId="41" fillId="9" borderId="0" xfId="22" applyNumberFormat="1" applyFont="1" applyFill="1" applyAlignment="1" applyProtection="1">
      <protection locked="0"/>
    </xf>
    <xf numFmtId="43" fontId="51" fillId="15" borderId="29" xfId="91" applyNumberFormat="1" applyFont="1" applyAlignment="1" applyProtection="1">
      <protection locked="0"/>
    </xf>
    <xf numFmtId="9" fontId="41" fillId="9" borderId="0" xfId="22" applyNumberFormat="1" applyFont="1" applyFill="1" applyAlignment="1" applyProtection="1">
      <protection locked="0"/>
    </xf>
    <xf numFmtId="43" fontId="41" fillId="9" borderId="0" xfId="9" applyFont="1" applyFill="1" applyAlignment="1" applyProtection="1"/>
    <xf numFmtId="7" fontId="41" fillId="9" borderId="0" xfId="3" applyFont="1" applyFill="1" applyAlignment="1" applyProtection="1"/>
    <xf numFmtId="2" fontId="18" fillId="9" borderId="14" xfId="22" applyNumberFormat="1" applyFont="1" applyFill="1" applyBorder="1" applyAlignment="1" applyProtection="1">
      <alignment horizontal="center" wrapText="1"/>
      <protection locked="0"/>
    </xf>
    <xf numFmtId="9" fontId="18" fillId="9" borderId="14" xfId="22" applyNumberFormat="1" applyFont="1" applyFill="1" applyBorder="1" applyAlignment="1" applyProtection="1">
      <alignment horizontal="center" wrapText="1"/>
      <protection locked="0"/>
    </xf>
    <xf numFmtId="2" fontId="51" fillId="15" borderId="29" xfId="91" applyNumberFormat="1" applyFont="1" applyAlignment="1" applyProtection="1">
      <protection locked="0"/>
    </xf>
    <xf numFmtId="166" fontId="51" fillId="15" borderId="29" xfId="91" applyNumberFormat="1" applyFont="1" applyAlignment="1" applyProtection="1">
      <protection locked="0"/>
    </xf>
    <xf numFmtId="7" fontId="41" fillId="9" borderId="0" xfId="23" applyFont="1" applyFill="1" applyProtection="1"/>
    <xf numFmtId="2" fontId="24" fillId="9" borderId="25" xfId="10" applyNumberFormat="1" applyFont="1" applyFill="1" applyAlignment="1" applyProtection="1"/>
    <xf numFmtId="7" fontId="24" fillId="9" borderId="25" xfId="10" applyNumberFormat="1" applyFont="1" applyFill="1" applyProtection="1"/>
    <xf numFmtId="2" fontId="41" fillId="9" borderId="0" xfId="22" applyNumberFormat="1" applyFont="1" applyFill="1" applyAlignment="1" applyProtection="1">
      <alignment horizontal="center"/>
    </xf>
    <xf numFmtId="9" fontId="41" fillId="9" borderId="0" xfId="22" applyNumberFormat="1" applyFont="1" applyFill="1" applyAlignment="1" applyProtection="1"/>
    <xf numFmtId="2" fontId="18" fillId="9" borderId="14" xfId="22" applyNumberFormat="1" applyFont="1" applyFill="1" applyBorder="1" applyAlignment="1" applyProtection="1">
      <alignment horizontal="center" wrapText="1"/>
    </xf>
    <xf numFmtId="9" fontId="18" fillId="9" borderId="14" xfId="22" applyNumberFormat="1" applyFont="1" applyFill="1" applyBorder="1" applyAlignment="1" applyProtection="1">
      <alignment horizontal="center" wrapText="1"/>
    </xf>
    <xf numFmtId="43" fontId="51" fillId="15" borderId="29" xfId="9" applyNumberFormat="1" applyFont="1" applyFill="1" applyBorder="1" applyProtection="1">
      <protection locked="0"/>
    </xf>
    <xf numFmtId="0" fontId="0" fillId="0" borderId="0" xfId="0" applyFill="1" applyAlignment="1" applyProtection="1"/>
    <xf numFmtId="166" fontId="51" fillId="0" borderId="29" xfId="91" applyNumberFormat="1" applyFill="1" applyAlignment="1" applyProtection="1">
      <protection locked="0"/>
    </xf>
    <xf numFmtId="10" fontId="51" fillId="15" borderId="29" xfId="8" applyFont="1" applyFill="1" applyBorder="1" applyProtection="1">
      <protection locked="0"/>
    </xf>
    <xf numFmtId="7" fontId="41" fillId="0" borderId="0" xfId="0" applyNumberFormat="1" applyFont="1" applyAlignment="1" applyProtection="1">
      <alignment vertical="center"/>
    </xf>
    <xf numFmtId="7" fontId="41" fillId="0" borderId="0" xfId="0" applyNumberFormat="1" applyFont="1" applyFill="1" applyBorder="1" applyAlignment="1" applyProtection="1">
      <alignment vertical="center"/>
    </xf>
    <xf numFmtId="0" fontId="3" fillId="0" borderId="0" xfId="19" applyFont="1" applyBorder="1"/>
    <xf numFmtId="0" fontId="2" fillId="0" borderId="0" xfId="19" quotePrefix="1" applyFont="1" applyProtection="1"/>
    <xf numFmtId="0" fontId="2" fillId="0" borderId="0" xfId="19" applyFont="1" applyProtection="1"/>
    <xf numFmtId="0" fontId="2" fillId="0" borderId="14" xfId="19" applyFont="1" applyBorder="1" applyAlignment="1">
      <alignment horizontal="center" wrapText="1"/>
    </xf>
    <xf numFmtId="39" fontId="51" fillId="15" borderId="29" xfId="91" applyNumberFormat="1" applyProtection="1">
      <protection locked="0"/>
    </xf>
    <xf numFmtId="44" fontId="17" fillId="0" borderId="26" xfId="12" applyFont="1" applyBorder="1" applyAlignment="1">
      <alignment horizontal="center" wrapText="1"/>
    </xf>
    <xf numFmtId="0" fontId="2" fillId="0" borderId="0" xfId="19" applyFont="1"/>
    <xf numFmtId="0" fontId="41" fillId="0" borderId="0" xfId="0" applyFont="1" applyAlignment="1" applyProtection="1">
      <protection locked="0"/>
    </xf>
    <xf numFmtId="0" fontId="41" fillId="0" borderId="0" xfId="0" applyFont="1" applyAlignment="1" applyProtection="1">
      <alignment horizontal="left"/>
    </xf>
    <xf numFmtId="43" fontId="43" fillId="17" borderId="0" xfId="9" applyFont="1" applyFill="1" applyAlignment="1" applyProtection="1">
      <protection locked="0"/>
    </xf>
    <xf numFmtId="7" fontId="43" fillId="0" borderId="0" xfId="3" applyFont="1" applyAlignment="1" applyProtection="1"/>
    <xf numFmtId="7" fontId="51" fillId="15" borderId="29" xfId="3" applyFont="1" applyFill="1" applyBorder="1" applyAlignment="1" applyProtection="1">
      <protection locked="0"/>
    </xf>
    <xf numFmtId="7" fontId="43" fillId="17" borderId="0" xfId="3" applyFont="1" applyFill="1" applyAlignment="1" applyProtection="1">
      <protection locked="0"/>
    </xf>
    <xf numFmtId="0" fontId="41" fillId="0" borderId="0" xfId="0" applyFont="1" applyAlignment="1" applyProtection="1">
      <protection locked="0"/>
    </xf>
    <xf numFmtId="0" fontId="17" fillId="0" borderId="0" xfId="0" applyFont="1" applyAlignment="1">
      <alignment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42" xfId="0" applyFont="1" applyBorder="1" applyAlignment="1">
      <alignment horizontal="center" wrapText="1"/>
    </xf>
    <xf numFmtId="7" fontId="0" fillId="0" borderId="43" xfId="3" applyFont="1" applyBorder="1" applyAlignment="1"/>
    <xf numFmtId="0" fontId="16" fillId="0" borderId="0" xfId="7" applyAlignment="1" applyProtection="1">
      <protection locked="0"/>
    </xf>
    <xf numFmtId="0" fontId="16" fillId="0" borderId="0" xfId="7" applyFill="1" applyBorder="1" applyAlignment="1" applyProtection="1">
      <alignment horizontal="center" wrapText="1"/>
    </xf>
    <xf numFmtId="2" fontId="51" fillId="15" borderId="29" xfId="91" applyNumberFormat="1" applyAlignment="1" applyProtection="1">
      <protection locked="0"/>
    </xf>
    <xf numFmtId="10" fontId="38" fillId="17" borderId="0" xfId="8" applyFont="1" applyFill="1" applyAlignment="1"/>
    <xf numFmtId="3" fontId="38" fillId="0" borderId="0" xfId="0" applyNumberFormat="1" applyFont="1" applyAlignment="1"/>
    <xf numFmtId="10" fontId="51" fillId="8" borderId="29" xfId="91" applyNumberFormat="1" applyFill="1" applyProtection="1">
      <protection locked="0"/>
    </xf>
    <xf numFmtId="43" fontId="43" fillId="17" borderId="0" xfId="9" applyFont="1" applyFill="1" applyBorder="1" applyAlignment="1" applyProtection="1">
      <protection locked="0"/>
    </xf>
    <xf numFmtId="2" fontId="18" fillId="18" borderId="0" xfId="0" applyNumberFormat="1" applyFont="1" applyFill="1" applyAlignment="1" applyProtection="1"/>
    <xf numFmtId="2" fontId="51" fillId="8" borderId="29" xfId="91" applyNumberFormat="1" applyFill="1" applyProtection="1"/>
    <xf numFmtId="0" fontId="41" fillId="0" borderId="0" xfId="0" applyFont="1" applyAlignment="1" applyProtection="1">
      <protection locked="0"/>
    </xf>
    <xf numFmtId="168" fontId="0" fillId="17" borderId="0" xfId="9" applyNumberFormat="1" applyFont="1" applyFill="1" applyAlignment="1" applyProtection="1">
      <protection locked="0"/>
    </xf>
    <xf numFmtId="7" fontId="0" fillId="17" borderId="0" xfId="3" applyFont="1" applyFill="1" applyAlignment="1" applyProtection="1">
      <protection locked="0"/>
    </xf>
    <xf numFmtId="168" fontId="0" fillId="17" borderId="43" xfId="9" applyNumberFormat="1" applyFont="1" applyFill="1" applyBorder="1" applyAlignment="1" applyProtection="1">
      <protection locked="0"/>
    </xf>
    <xf numFmtId="7" fontId="0" fillId="17" borderId="43" xfId="3" applyFont="1" applyFill="1" applyBorder="1" applyAlignment="1" applyProtection="1">
      <protection locked="0"/>
    </xf>
    <xf numFmtId="0" fontId="0" fillId="0" borderId="0" xfId="0" applyAlignment="1">
      <alignment horizontal="center" wrapText="1"/>
    </xf>
    <xf numFmtId="0" fontId="41" fillId="0" borderId="16" xfId="0" applyFont="1" applyBorder="1" applyAlignment="1" applyProtection="1">
      <alignment horizontal="left"/>
    </xf>
    <xf numFmtId="0" fontId="41" fillId="0" borderId="0" xfId="0" applyFont="1" applyAlignment="1" applyProtection="1">
      <alignment horizontal="left"/>
    </xf>
    <xf numFmtId="1" fontId="18" fillId="0" borderId="18" xfId="0" applyNumberFormat="1" applyFont="1" applyFill="1" applyBorder="1" applyAlignment="1" applyProtection="1">
      <alignment horizontal="center" vertical="center" wrapText="1"/>
    </xf>
    <xf numFmtId="1" fontId="18" fillId="0" borderId="16" xfId="0" applyNumberFormat="1" applyFont="1" applyFill="1" applyBorder="1" applyAlignment="1" applyProtection="1">
      <alignment horizontal="center" vertical="center" wrapText="1"/>
    </xf>
    <xf numFmtId="0" fontId="18" fillId="0" borderId="17" xfId="0" applyFont="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41" fillId="0" borderId="0" xfId="0" applyFont="1" applyBorder="1" applyAlignment="1" applyProtection="1">
      <alignment horizontal="left"/>
    </xf>
    <xf numFmtId="0" fontId="41" fillId="0" borderId="0" xfId="0" applyFont="1" applyBorder="1" applyAlignment="1" applyProtection="1"/>
    <xf numFmtId="0" fontId="18" fillId="0" borderId="16" xfId="0" applyFont="1" applyBorder="1" applyAlignment="1" applyProtection="1">
      <alignment horizontal="left"/>
    </xf>
    <xf numFmtId="0" fontId="40" fillId="7" borderId="0" xfId="0" applyFont="1" applyFill="1" applyAlignment="1" applyProtection="1">
      <alignment horizontal="left"/>
    </xf>
    <xf numFmtId="0" fontId="41" fillId="0" borderId="0" xfId="0" applyFont="1" applyAlignment="1" applyProtection="1">
      <alignment horizontal="left" vertical="top" wrapText="1"/>
    </xf>
    <xf numFmtId="0" fontId="41" fillId="0" borderId="0" xfId="0" applyFont="1" applyAlignment="1" applyProtection="1">
      <alignment horizontal="left"/>
      <protection locked="0"/>
    </xf>
    <xf numFmtId="0" fontId="18" fillId="0" borderId="32" xfId="0" applyFont="1" applyBorder="1" applyAlignment="1" applyProtection="1">
      <alignment horizontal="center" vertical="center" wrapText="1"/>
    </xf>
    <xf numFmtId="0" fontId="18" fillId="0" borderId="34" xfId="0" applyFont="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46" fillId="0" borderId="0" xfId="0" applyFont="1" applyBorder="1" applyAlignment="1" applyProtection="1">
      <alignment horizontal="center"/>
    </xf>
    <xf numFmtId="0" fontId="24" fillId="8" borderId="30" xfId="10" applyFont="1" applyFill="1" applyBorder="1" applyAlignment="1" applyProtection="1">
      <alignment horizontal="left"/>
    </xf>
    <xf numFmtId="0" fontId="46" fillId="8" borderId="19" xfId="0" applyFont="1" applyFill="1" applyBorder="1" applyAlignment="1" applyProtection="1">
      <alignment horizontal="center" wrapText="1"/>
    </xf>
    <xf numFmtId="0" fontId="46" fillId="8" borderId="33" xfId="0" applyFont="1" applyFill="1" applyBorder="1" applyAlignment="1" applyProtection="1">
      <alignment horizontal="center" wrapText="1"/>
    </xf>
    <xf numFmtId="0" fontId="18" fillId="0" borderId="0" xfId="0" applyFont="1" applyBorder="1" applyAlignment="1" applyProtection="1">
      <alignment horizontal="center"/>
    </xf>
    <xf numFmtId="0" fontId="18" fillId="13" borderId="0" xfId="0" applyFont="1" applyFill="1" applyBorder="1" applyAlignment="1">
      <alignment horizontal="center"/>
    </xf>
    <xf numFmtId="0" fontId="41" fillId="13" borderId="0" xfId="0" applyFont="1" applyFill="1" applyBorder="1" applyAlignment="1">
      <alignment horizontal="center"/>
    </xf>
    <xf numFmtId="0" fontId="41" fillId="14" borderId="0" xfId="0" applyFont="1" applyFill="1" applyBorder="1" applyAlignment="1">
      <alignment horizontal="center"/>
    </xf>
    <xf numFmtId="0" fontId="41" fillId="0" borderId="0" xfId="0" applyFont="1" applyAlignment="1" applyProtection="1">
      <alignment horizontal="center" wrapText="1"/>
      <protection locked="0"/>
    </xf>
    <xf numFmtId="0" fontId="41" fillId="0" borderId="0" xfId="0" applyFont="1" applyAlignment="1" applyProtection="1">
      <protection locked="0"/>
    </xf>
    <xf numFmtId="169" fontId="18" fillId="14" borderId="0" xfId="0" applyNumberFormat="1" applyFont="1" applyFill="1" applyBorder="1" applyAlignment="1">
      <alignment horizontal="center"/>
    </xf>
    <xf numFmtId="0" fontId="18" fillId="13" borderId="0"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51" fillId="15" borderId="37" xfId="91" applyBorder="1" applyAlignment="1" applyProtection="1">
      <alignment horizontal="left"/>
      <protection locked="0"/>
    </xf>
    <xf numFmtId="0" fontId="51" fillId="15" borderId="38" xfId="91" applyBorder="1" applyAlignment="1" applyProtection="1">
      <alignment horizontal="left"/>
      <protection locked="0"/>
    </xf>
    <xf numFmtId="0" fontId="51" fillId="15" borderId="39" xfId="91" applyBorder="1" applyAlignment="1" applyProtection="1">
      <alignment horizontal="left"/>
      <protection locked="0"/>
    </xf>
    <xf numFmtId="0" fontId="18" fillId="0" borderId="0" xfId="0" applyFont="1" applyAlignment="1" applyProtection="1">
      <alignment horizontal="left" wrapText="1"/>
      <protection locked="0"/>
    </xf>
    <xf numFmtId="0" fontId="41" fillId="0" borderId="0" xfId="0" applyFont="1" applyBorder="1" applyAlignment="1" applyProtection="1">
      <protection locked="0"/>
    </xf>
    <xf numFmtId="0" fontId="41" fillId="0" borderId="18" xfId="0" applyFont="1" applyBorder="1" applyAlignment="1" applyProtection="1">
      <alignment horizontal="left"/>
    </xf>
    <xf numFmtId="0" fontId="41" fillId="0" borderId="35" xfId="0" applyFont="1" applyBorder="1" applyAlignment="1" applyProtection="1">
      <alignment horizontal="left"/>
      <protection locked="0"/>
    </xf>
    <xf numFmtId="0" fontId="18" fillId="0" borderId="14" xfId="0" applyFont="1" applyBorder="1" applyAlignment="1">
      <alignment horizontal="center" vertical="center"/>
    </xf>
    <xf numFmtId="0" fontId="18" fillId="3" borderId="17" xfId="0" applyFont="1" applyFill="1" applyBorder="1" applyAlignment="1" applyProtection="1">
      <alignment horizontal="left"/>
      <protection locked="0"/>
    </xf>
    <xf numFmtId="0" fontId="18" fillId="3" borderId="14" xfId="0" applyFont="1" applyFill="1" applyBorder="1" applyAlignment="1" applyProtection="1">
      <alignment horizontal="left"/>
      <protection locked="0"/>
    </xf>
    <xf numFmtId="0" fontId="3" fillId="16" borderId="0" xfId="92" applyFont="1" applyAlignment="1" applyProtection="1">
      <alignment horizontal="center"/>
    </xf>
    <xf numFmtId="0" fontId="5" fillId="16" borderId="0" xfId="92" applyAlignment="1" applyProtection="1">
      <alignment horizontal="center"/>
    </xf>
    <xf numFmtId="0" fontId="5" fillId="16" borderId="35" xfId="92" applyBorder="1" applyAlignment="1" applyProtection="1">
      <alignment horizontal="center"/>
    </xf>
    <xf numFmtId="0" fontId="9" fillId="0" borderId="17" xfId="0" applyFont="1" applyBorder="1" applyAlignment="1" applyProtection="1">
      <alignment horizontal="left"/>
    </xf>
    <xf numFmtId="0" fontId="9" fillId="0" borderId="14" xfId="0" applyFont="1" applyBorder="1" applyAlignment="1" applyProtection="1">
      <alignment horizontal="left"/>
    </xf>
    <xf numFmtId="0" fontId="9" fillId="0" borderId="15" xfId="0" applyFont="1"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xf>
    <xf numFmtId="0" fontId="9" fillId="0" borderId="0" xfId="0" applyFont="1" applyBorder="1" applyAlignment="1" applyProtection="1">
      <alignment horizontal="left"/>
    </xf>
    <xf numFmtId="1" fontId="12" fillId="0" borderId="0" xfId="0" applyNumberFormat="1" applyFont="1" applyAlignment="1" applyProtection="1">
      <alignment horizontal="left"/>
    </xf>
    <xf numFmtId="0" fontId="14" fillId="0" borderId="17" xfId="0" applyFont="1" applyBorder="1" applyAlignment="1" applyProtection="1">
      <alignment horizontal="left"/>
    </xf>
    <xf numFmtId="0" fontId="14" fillId="0" borderId="14" xfId="0" applyFont="1" applyBorder="1" applyAlignment="1" applyProtection="1">
      <alignment horizontal="left"/>
    </xf>
    <xf numFmtId="0" fontId="14" fillId="2" borderId="0" xfId="0" applyFont="1" applyFill="1" applyAlignment="1" applyProtection="1">
      <alignment horizontal="center"/>
    </xf>
    <xf numFmtId="0" fontId="9" fillId="5" borderId="0" xfId="0" applyFont="1" applyFill="1" applyAlignment="1" applyProtection="1">
      <alignment horizontal="center"/>
    </xf>
    <xf numFmtId="0" fontId="14" fillId="5" borderId="0" xfId="0" applyFont="1" applyFill="1" applyAlignment="1" applyProtection="1">
      <alignment horizontal="center"/>
    </xf>
    <xf numFmtId="1" fontId="12" fillId="0" borderId="16" xfId="0" applyNumberFormat="1" applyFont="1" applyBorder="1" applyAlignment="1" applyProtection="1">
      <alignment horizontal="left"/>
    </xf>
    <xf numFmtId="0" fontId="49" fillId="0" borderId="0" xfId="89" applyBorder="1" applyAlignment="1" applyProtection="1">
      <alignment horizontal="center"/>
    </xf>
    <xf numFmtId="0" fontId="14" fillId="0" borderId="24" xfId="0" applyFont="1" applyBorder="1" applyAlignment="1" applyProtection="1">
      <alignment horizontal="center" wrapText="1"/>
    </xf>
    <xf numFmtId="0" fontId="14" fillId="0" borderId="20" xfId="0" applyFont="1" applyBorder="1" applyAlignment="1" applyProtection="1">
      <alignment horizontal="center" wrapText="1"/>
    </xf>
    <xf numFmtId="0" fontId="14" fillId="0" borderId="0" xfId="0" applyFont="1" applyAlignment="1">
      <alignment horizontal="center"/>
    </xf>
    <xf numFmtId="0" fontId="14" fillId="0" borderId="17" xfId="0" applyFont="1" applyFill="1" applyBorder="1" applyAlignment="1">
      <alignment horizontal="left"/>
    </xf>
    <xf numFmtId="0" fontId="14" fillId="0" borderId="14" xfId="0" applyFont="1" applyFill="1" applyBorder="1" applyAlignment="1">
      <alignment horizontal="left"/>
    </xf>
    <xf numFmtId="0" fontId="14" fillId="0" borderId="18" xfId="0" applyFont="1" applyBorder="1" applyAlignment="1">
      <alignment horizontal="left"/>
    </xf>
    <xf numFmtId="0" fontId="14" fillId="2" borderId="17" xfId="0" applyFont="1" applyFill="1" applyBorder="1" applyAlignment="1">
      <alignment horizontal="left"/>
    </xf>
    <xf numFmtId="0" fontId="14" fillId="2" borderId="14" xfId="0" applyFont="1" applyFill="1" applyBorder="1" applyAlignment="1">
      <alignment horizontal="left"/>
    </xf>
    <xf numFmtId="0" fontId="49" fillId="0" borderId="0" xfId="89" applyAlignment="1">
      <alignment horizontal="center"/>
    </xf>
    <xf numFmtId="44" fontId="16" fillId="0" borderId="0" xfId="7" applyNumberFormat="1" applyAlignment="1" applyProtection="1">
      <alignment horizontal="center"/>
    </xf>
    <xf numFmtId="0" fontId="49" fillId="0" borderId="35" xfId="89" applyBorder="1" applyAlignment="1">
      <alignment horizontal="center"/>
    </xf>
    <xf numFmtId="7" fontId="41" fillId="11" borderId="0" xfId="3" applyFont="1" applyFill="1" applyAlignment="1">
      <alignment horizontal="center"/>
    </xf>
    <xf numFmtId="0" fontId="9" fillId="0" borderId="0" xfId="11" applyFont="1" applyAlignment="1">
      <alignment horizontal="center"/>
    </xf>
    <xf numFmtId="0" fontId="17" fillId="0" borderId="0" xfId="11" applyFont="1" applyFill="1" applyBorder="1" applyAlignment="1">
      <alignment horizontal="left" wrapText="1"/>
    </xf>
    <xf numFmtId="0" fontId="24" fillId="0" borderId="0" xfId="19" applyFont="1"/>
    <xf numFmtId="0" fontId="24" fillId="8" borderId="25" xfId="10" applyFill="1" applyAlignment="1"/>
    <xf numFmtId="0" fontId="29" fillId="0" borderId="18" xfId="19" applyFont="1" applyBorder="1"/>
    <xf numFmtId="2" fontId="41" fillId="9" borderId="0" xfId="22" applyNumberFormat="1" applyFont="1" applyFill="1" applyAlignment="1" applyProtection="1"/>
    <xf numFmtId="0" fontId="3" fillId="0" borderId="0" xfId="19" applyFont="1" applyBorder="1"/>
    <xf numFmtId="2" fontId="41" fillId="9" borderId="36" xfId="22" applyNumberFormat="1" applyFont="1" applyFill="1" applyBorder="1" applyAlignment="1" applyProtection="1"/>
    <xf numFmtId="2" fontId="49" fillId="9" borderId="0" xfId="89" applyNumberFormat="1" applyFill="1" applyBorder="1" applyAlignment="1" applyProtection="1">
      <alignment horizontal="center"/>
      <protection locked="0"/>
    </xf>
    <xf numFmtId="44" fontId="45" fillId="0" borderId="0" xfId="7" applyNumberFormat="1" applyFont="1" applyAlignment="1" applyProtection="1">
      <alignment horizontal="center"/>
    </xf>
    <xf numFmtId="2" fontId="18" fillId="9" borderId="17" xfId="22" applyNumberFormat="1" applyFont="1" applyFill="1" applyBorder="1" applyAlignment="1" applyProtection="1">
      <alignment horizontal="center"/>
      <protection locked="0"/>
    </xf>
    <xf numFmtId="2" fontId="18" fillId="9" borderId="14" xfId="22" applyNumberFormat="1" applyFont="1" applyFill="1" applyBorder="1" applyAlignment="1" applyProtection="1">
      <alignment horizontal="center"/>
      <protection locked="0"/>
    </xf>
    <xf numFmtId="2" fontId="41" fillId="9" borderId="0" xfId="22" applyNumberFormat="1" applyFont="1" applyFill="1" applyAlignment="1" applyProtection="1">
      <alignment horizontal="left"/>
    </xf>
    <xf numFmtId="2" fontId="49" fillId="9" borderId="0" xfId="89" applyNumberFormat="1" applyFill="1" applyBorder="1" applyAlignment="1" applyProtection="1">
      <alignment horizontal="center"/>
    </xf>
    <xf numFmtId="2" fontId="18" fillId="9" borderId="17" xfId="22" applyNumberFormat="1" applyFont="1" applyFill="1" applyBorder="1" applyAlignment="1" applyProtection="1">
      <alignment horizontal="center"/>
    </xf>
    <xf numFmtId="2" fontId="18" fillId="9" borderId="14" xfId="22" applyNumberFormat="1" applyFont="1" applyFill="1" applyBorder="1" applyAlignment="1" applyProtection="1">
      <alignment horizontal="center"/>
    </xf>
    <xf numFmtId="2" fontId="18" fillId="9" borderId="18" xfId="22" applyNumberFormat="1" applyFont="1" applyFill="1" applyBorder="1" applyAlignment="1" applyProtection="1"/>
    <xf numFmtId="0" fontId="54" fillId="0" borderId="0" xfId="0" applyFont="1" applyAlignment="1" applyProtection="1"/>
    <xf numFmtId="0" fontId="16" fillId="0" borderId="0" xfId="7" applyAlignment="1" applyProtection="1">
      <alignment horizontal="left"/>
    </xf>
    <xf numFmtId="0" fontId="49" fillId="0" borderId="0" xfId="89" applyBorder="1" applyAlignment="1" applyProtection="1">
      <alignment horizontal="center"/>
      <protection locked="0"/>
    </xf>
  </cellXfs>
  <cellStyles count="199">
    <cellStyle name="20% - Accent6" xfId="92" builtinId="50"/>
    <cellStyle name="Calculation" xfId="26" builtinId="22"/>
    <cellStyle name="Code" xfId="1" xr:uid="{00000000-0005-0000-0000-000002000000}"/>
    <cellStyle name="Comma" xfId="9" builtinId="3"/>
    <cellStyle name="Comma0" xfId="2" xr:uid="{00000000-0005-0000-0000-000004000000}"/>
    <cellStyle name="Currency" xfId="3" builtinId="4"/>
    <cellStyle name="Currency 2" xfId="12" xr:uid="{00000000-0005-0000-0000-000006000000}"/>
    <cellStyle name="Currency 3" xfId="20" xr:uid="{00000000-0005-0000-0000-000007000000}"/>
    <cellStyle name="Currency 4" xfId="23" xr:uid="{00000000-0005-0000-0000-000008000000}"/>
    <cellStyle name="Currency0" xfId="4" xr:uid="{00000000-0005-0000-0000-000009000000}"/>
    <cellStyle name="Date" xfId="5" xr:uid="{00000000-0005-0000-0000-00000A000000}"/>
    <cellStyle name="Fixed" xfId="6" xr:uid="{00000000-0005-0000-0000-00000B000000}"/>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Heading 1" xfId="90" builtinId="16"/>
    <cellStyle name="Heading 1 2" xfId="25" xr:uid="{00000000-0005-0000-0000-0000BA000000}"/>
    <cellStyle name="Hyperlink" xfId="7" builtinId="8"/>
    <cellStyle name="Hyperlink 2" xfId="21" xr:uid="{00000000-0005-0000-0000-0000BC000000}"/>
    <cellStyle name="Input" xfId="91" builtinId="20"/>
    <cellStyle name="Normal" xfId="0" builtinId="0"/>
    <cellStyle name="Normal 2" xfId="11" xr:uid="{00000000-0005-0000-0000-0000BF000000}"/>
    <cellStyle name="Normal 3" xfId="19" xr:uid="{00000000-0005-0000-0000-0000C0000000}"/>
    <cellStyle name="Normal 4" xfId="22" xr:uid="{00000000-0005-0000-0000-0000C1000000}"/>
    <cellStyle name="Percent" xfId="8" builtinId="5"/>
    <cellStyle name="Percent 2" xfId="13" xr:uid="{00000000-0005-0000-0000-0000C3000000}"/>
    <cellStyle name="Percent 3" xfId="24" xr:uid="{00000000-0005-0000-0000-0000C4000000}"/>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10</xdr:row>
      <xdr:rowOff>0</xdr:rowOff>
    </xdr:from>
    <xdr:to>
      <xdr:col>7</xdr:col>
      <xdr:colOff>624840</xdr:colOff>
      <xdr:row>11</xdr:row>
      <xdr:rowOff>111760</xdr:rowOff>
    </xdr:to>
    <xdr:sp macro="" textlink="">
      <xdr:nvSpPr>
        <xdr:cNvPr id="2060" name="CommandButton1" hidden="1">
          <a:extLst>
            <a:ext uri="{63B3BB69-23CF-44E3-9099-C40C66FF867C}">
              <a14:compatExt xmlns:a14="http://schemas.microsoft.com/office/drawing/2010/main" spid="_x0000_s2060"/>
            </a:ext>
            <a:ext uri="{FF2B5EF4-FFF2-40B4-BE49-F238E27FC236}">
              <a16:creationId xmlns:a16="http://schemas.microsoft.com/office/drawing/2014/main" id="{00000000-0008-0000-0200-00000C080000}"/>
            </a:ext>
          </a:extLst>
        </xdr:cNvPr>
        <xdr:cNvSpPr/>
      </xdr:nvSpPr>
      <xdr:spPr>
        <a:xfrm>
          <a:off x="0" y="0"/>
          <a:ext cx="0" cy="0"/>
        </a:xfrm>
        <a:prstGeom prst="rect">
          <a:avLst/>
        </a:prstGeom>
      </xdr:spPr>
    </xdr:sp>
    <xdr:clientData/>
  </xdr:twoCellAnchor>
  <xdr:twoCellAnchor editAs="oneCell">
    <xdr:from>
      <xdr:col>6</xdr:col>
      <xdr:colOff>244475</xdr:colOff>
      <xdr:row>125</xdr:row>
      <xdr:rowOff>42147</xdr:rowOff>
    </xdr:from>
    <xdr:to>
      <xdr:col>8</xdr:col>
      <xdr:colOff>1043305</xdr:colOff>
      <xdr:row>138</xdr:row>
      <xdr:rowOff>18193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3225" y="24505522"/>
          <a:ext cx="3037205" cy="2452546"/>
        </a:xfrm>
        <a:prstGeom prst="rect">
          <a:avLst/>
        </a:prstGeom>
      </xdr:spPr>
    </xdr:pic>
    <xdr:clientData/>
  </xdr:twoCellAnchor>
  <xdr:twoCellAnchor editAs="oneCell">
    <xdr:from>
      <xdr:col>1</xdr:col>
      <xdr:colOff>460374</xdr:colOff>
      <xdr:row>127</xdr:row>
      <xdr:rowOff>111124</xdr:rowOff>
    </xdr:from>
    <xdr:to>
      <xdr:col>2</xdr:col>
      <xdr:colOff>896446</xdr:colOff>
      <xdr:row>134</xdr:row>
      <xdr:rowOff>95249</xdr:rowOff>
    </xdr:to>
    <xdr:pic>
      <xdr:nvPicPr>
        <xdr:cNvPr id="3" name="Picture 2" descr="UGAextension_cmyk.ep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1999" y="24955499"/>
          <a:ext cx="371330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29852</xdr:colOff>
      <xdr:row>105</xdr:row>
      <xdr:rowOff>120608</xdr:rowOff>
    </xdr:from>
    <xdr:to>
      <xdr:col>5</xdr:col>
      <xdr:colOff>914399</xdr:colOff>
      <xdr:row>110</xdr:row>
      <xdr:rowOff>132080</xdr:rowOff>
    </xdr:to>
    <xdr:sp macro="" textlink="">
      <xdr:nvSpPr>
        <xdr:cNvPr id="3076" name="Text Box 4">
          <a:extLst>
            <a:ext uri="{FF2B5EF4-FFF2-40B4-BE49-F238E27FC236}">
              <a16:creationId xmlns:a16="http://schemas.microsoft.com/office/drawing/2014/main" id="{00000000-0008-0000-0300-0000040C0000}"/>
            </a:ext>
          </a:extLst>
        </xdr:cNvPr>
        <xdr:cNvSpPr txBox="1">
          <a:spLocks noChangeArrowheads="1"/>
        </xdr:cNvSpPr>
      </xdr:nvSpPr>
      <xdr:spPr bwMode="auto">
        <a:xfrm>
          <a:off x="1574172" y="19292528"/>
          <a:ext cx="6604627" cy="7734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ea typeface="Arial"/>
              <a:cs typeface="Arial"/>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a:extLst>
            <a:ext uri="{FF2B5EF4-FFF2-40B4-BE49-F238E27FC236}">
              <a16:creationId xmlns:a16="http://schemas.microsoft.com/office/drawing/2014/main" id="{00000000-0008-0000-0500-000001100000}"/>
            </a:ext>
          </a:extLst>
        </xdr:cNvPr>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a:extLst>
            <a:ext uri="{FF2B5EF4-FFF2-40B4-BE49-F238E27FC236}">
              <a16:creationId xmlns:a16="http://schemas.microsoft.com/office/drawing/2014/main" id="{00000000-0008-0000-0500-000004100000}"/>
            </a:ext>
          </a:extLst>
        </xdr:cNvPr>
        <xdr:cNvSpPr>
          <a:spLocks noChangeArrowheads="1"/>
        </xdr:cNvSpPr>
      </xdr:nvSpPr>
      <xdr:spPr bwMode="auto">
        <a:xfrm>
          <a:off x="342900" y="9271000"/>
          <a:ext cx="4699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a:extLst>
            <a:ext uri="{FF2B5EF4-FFF2-40B4-BE49-F238E27FC236}">
              <a16:creationId xmlns:a16="http://schemas.microsoft.com/office/drawing/2014/main" id="{00000000-0008-0000-0500-000005100000}"/>
            </a:ext>
          </a:extLst>
        </xdr:cNvPr>
        <xdr:cNvSpPr>
          <a:spLocks noChangeArrowheads="1"/>
        </xdr:cNvSpPr>
      </xdr:nvSpPr>
      <xdr:spPr bwMode="auto">
        <a:xfrm>
          <a:off x="10312400" y="1219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a:extLst>
            <a:ext uri="{FF2B5EF4-FFF2-40B4-BE49-F238E27FC236}">
              <a16:creationId xmlns:a16="http://schemas.microsoft.com/office/drawing/2014/main" id="{00000000-0008-0000-0500-000006100000}"/>
            </a:ext>
          </a:extLst>
        </xdr:cNvPr>
        <xdr:cNvSpPr>
          <a:spLocks noChangeArrowheads="1"/>
        </xdr:cNvSpPr>
      </xdr:nvSpPr>
      <xdr:spPr bwMode="auto">
        <a:xfrm>
          <a:off x="10312400" y="1371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a:extLst>
            <a:ext uri="{FF2B5EF4-FFF2-40B4-BE49-F238E27FC236}">
              <a16:creationId xmlns:a16="http://schemas.microsoft.com/office/drawing/2014/main" id="{00000000-0008-0000-0500-000007100000}"/>
            </a:ext>
          </a:extLst>
        </xdr:cNvPr>
        <xdr:cNvSpPr>
          <a:spLocks noChangeArrowheads="1"/>
        </xdr:cNvSpPr>
      </xdr:nvSpPr>
      <xdr:spPr bwMode="auto">
        <a:xfrm>
          <a:off x="10312400" y="1524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a:extLst>
            <a:ext uri="{FF2B5EF4-FFF2-40B4-BE49-F238E27FC236}">
              <a16:creationId xmlns:a16="http://schemas.microsoft.com/office/drawing/2014/main" id="{00000000-0008-0000-0500-000008100000}"/>
            </a:ext>
          </a:extLst>
        </xdr:cNvPr>
        <xdr:cNvSpPr>
          <a:spLocks noChangeArrowheads="1"/>
        </xdr:cNvSpPr>
      </xdr:nvSpPr>
      <xdr:spPr bwMode="auto">
        <a:xfrm>
          <a:off x="10312400" y="16764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a:extLst>
            <a:ext uri="{FF2B5EF4-FFF2-40B4-BE49-F238E27FC236}">
              <a16:creationId xmlns:a16="http://schemas.microsoft.com/office/drawing/2014/main" id="{00000000-0008-0000-0500-000009100000}"/>
            </a:ext>
          </a:extLst>
        </xdr:cNvPr>
        <xdr:cNvSpPr>
          <a:spLocks noChangeArrowheads="1"/>
        </xdr:cNvSpPr>
      </xdr:nvSpPr>
      <xdr:spPr bwMode="auto">
        <a:xfrm>
          <a:off x="10312400" y="32258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a:extLst>
            <a:ext uri="{FF2B5EF4-FFF2-40B4-BE49-F238E27FC236}">
              <a16:creationId xmlns:a16="http://schemas.microsoft.com/office/drawing/2014/main" id="{00000000-0008-0000-0500-00000A100000}"/>
            </a:ext>
          </a:extLst>
        </xdr:cNvPr>
        <xdr:cNvSpPr>
          <a:spLocks noChangeArrowheads="1"/>
        </xdr:cNvSpPr>
      </xdr:nvSpPr>
      <xdr:spPr bwMode="auto">
        <a:xfrm>
          <a:off x="10312400" y="3378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a:extLst>
            <a:ext uri="{FF2B5EF4-FFF2-40B4-BE49-F238E27FC236}">
              <a16:creationId xmlns:a16="http://schemas.microsoft.com/office/drawing/2014/main" id="{00000000-0008-0000-0500-00000B100000}"/>
            </a:ext>
          </a:extLst>
        </xdr:cNvPr>
        <xdr:cNvSpPr>
          <a:spLocks noChangeArrowheads="1"/>
        </xdr:cNvSpPr>
      </xdr:nvSpPr>
      <xdr:spPr bwMode="auto">
        <a:xfrm>
          <a:off x="10312400" y="3530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a:extLst>
            <a:ext uri="{FF2B5EF4-FFF2-40B4-BE49-F238E27FC236}">
              <a16:creationId xmlns:a16="http://schemas.microsoft.com/office/drawing/2014/main" id="{00000000-0008-0000-0500-00000C100000}"/>
            </a:ext>
          </a:extLst>
        </xdr:cNvPr>
        <xdr:cNvSpPr>
          <a:spLocks noChangeArrowheads="1"/>
        </xdr:cNvSpPr>
      </xdr:nvSpPr>
      <xdr:spPr bwMode="auto">
        <a:xfrm>
          <a:off x="10312400" y="3683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a:extLst>
            <a:ext uri="{FF2B5EF4-FFF2-40B4-BE49-F238E27FC236}">
              <a16:creationId xmlns:a16="http://schemas.microsoft.com/office/drawing/2014/main" id="{00000000-0008-0000-0500-00000D100000}"/>
            </a:ext>
          </a:extLst>
        </xdr:cNvPr>
        <xdr:cNvSpPr>
          <a:spLocks noChangeArrowheads="1"/>
        </xdr:cNvSpPr>
      </xdr:nvSpPr>
      <xdr:spPr bwMode="auto">
        <a:xfrm>
          <a:off x="10312400" y="3835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a:extLst>
            <a:ext uri="{FF2B5EF4-FFF2-40B4-BE49-F238E27FC236}">
              <a16:creationId xmlns:a16="http://schemas.microsoft.com/office/drawing/2014/main" id="{00000000-0008-0000-0500-00000E100000}"/>
            </a:ext>
          </a:extLst>
        </xdr:cNvPr>
        <xdr:cNvSpPr>
          <a:spLocks noChangeArrowheads="1"/>
        </xdr:cNvSpPr>
      </xdr:nvSpPr>
      <xdr:spPr bwMode="auto">
        <a:xfrm>
          <a:off x="10312400" y="39878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a:extLst>
            <a:ext uri="{FF2B5EF4-FFF2-40B4-BE49-F238E27FC236}">
              <a16:creationId xmlns:a16="http://schemas.microsoft.com/office/drawing/2014/main" id="{00000000-0008-0000-0500-00000F100000}"/>
            </a:ext>
          </a:extLst>
        </xdr:cNvPr>
        <xdr:cNvSpPr>
          <a:spLocks noChangeArrowheads="1"/>
        </xdr:cNvSpPr>
      </xdr:nvSpPr>
      <xdr:spPr bwMode="auto">
        <a:xfrm>
          <a:off x="10312400" y="70993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a:extLst>
            <a:ext uri="{FF2B5EF4-FFF2-40B4-BE49-F238E27FC236}">
              <a16:creationId xmlns:a16="http://schemas.microsoft.com/office/drawing/2014/main" id="{00000000-0008-0000-0500-000010100000}"/>
            </a:ext>
          </a:extLst>
        </xdr:cNvPr>
        <xdr:cNvSpPr>
          <a:spLocks noChangeArrowheads="1"/>
        </xdr:cNvSpPr>
      </xdr:nvSpPr>
      <xdr:spPr bwMode="auto">
        <a:xfrm>
          <a:off x="10312400" y="69342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a:extLst>
            <a:ext uri="{FF2B5EF4-FFF2-40B4-BE49-F238E27FC236}">
              <a16:creationId xmlns:a16="http://schemas.microsoft.com/office/drawing/2014/main" id="{00000000-0008-0000-0500-000011100000}"/>
            </a:ext>
          </a:extLst>
        </xdr:cNvPr>
        <xdr:cNvSpPr>
          <a:spLocks noChangeArrowheads="1"/>
        </xdr:cNvSpPr>
      </xdr:nvSpPr>
      <xdr:spPr bwMode="auto">
        <a:xfrm>
          <a:off x="10312400" y="2311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a:extLst>
            <a:ext uri="{FF2B5EF4-FFF2-40B4-BE49-F238E27FC236}">
              <a16:creationId xmlns:a16="http://schemas.microsoft.com/office/drawing/2014/main" id="{00000000-0008-0000-0500-000012100000}"/>
            </a:ext>
          </a:extLst>
        </xdr:cNvPr>
        <xdr:cNvSpPr>
          <a:spLocks noChangeArrowheads="1"/>
        </xdr:cNvSpPr>
      </xdr:nvSpPr>
      <xdr:spPr bwMode="auto">
        <a:xfrm>
          <a:off x="10312400" y="24638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a:extLst>
            <a:ext uri="{FF2B5EF4-FFF2-40B4-BE49-F238E27FC236}">
              <a16:creationId xmlns:a16="http://schemas.microsoft.com/office/drawing/2014/main" id="{00000000-0008-0000-0500-000013100000}"/>
            </a:ext>
          </a:extLst>
        </xdr:cNvPr>
        <xdr:cNvSpPr>
          <a:spLocks noChangeArrowheads="1"/>
        </xdr:cNvSpPr>
      </xdr:nvSpPr>
      <xdr:spPr bwMode="auto">
        <a:xfrm>
          <a:off x="10312400" y="26162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a:extLst>
            <a:ext uri="{FF2B5EF4-FFF2-40B4-BE49-F238E27FC236}">
              <a16:creationId xmlns:a16="http://schemas.microsoft.com/office/drawing/2014/main" id="{00000000-0008-0000-0500-000014100000}"/>
            </a:ext>
          </a:extLst>
        </xdr:cNvPr>
        <xdr:cNvSpPr>
          <a:spLocks noChangeArrowheads="1"/>
        </xdr:cNvSpPr>
      </xdr:nvSpPr>
      <xdr:spPr bwMode="auto">
        <a:xfrm>
          <a:off x="10312400" y="27686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a:extLst>
            <a:ext uri="{FF2B5EF4-FFF2-40B4-BE49-F238E27FC236}">
              <a16:creationId xmlns:a16="http://schemas.microsoft.com/office/drawing/2014/main" id="{00000000-0008-0000-0500-000015100000}"/>
            </a:ext>
          </a:extLst>
        </xdr:cNvPr>
        <xdr:cNvSpPr>
          <a:spLocks noChangeArrowheads="1"/>
        </xdr:cNvSpPr>
      </xdr:nvSpPr>
      <xdr:spPr bwMode="auto">
        <a:xfrm>
          <a:off x="10312400" y="29210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a:extLst>
            <a:ext uri="{FF2B5EF4-FFF2-40B4-BE49-F238E27FC236}">
              <a16:creationId xmlns:a16="http://schemas.microsoft.com/office/drawing/2014/main" id="{00000000-0008-0000-0500-000016100000}"/>
            </a:ext>
          </a:extLst>
        </xdr:cNvPr>
        <xdr:cNvSpPr>
          <a:spLocks noChangeArrowheads="1"/>
        </xdr:cNvSpPr>
      </xdr:nvSpPr>
      <xdr:spPr bwMode="auto">
        <a:xfrm>
          <a:off x="10312400" y="3073400"/>
          <a:ext cx="673100" cy="1524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a:extLst>
            <a:ext uri="{FF2B5EF4-FFF2-40B4-BE49-F238E27FC236}">
              <a16:creationId xmlns:a16="http://schemas.microsoft.com/office/drawing/2014/main" id="{00000000-0008-0000-0500-000017100000}"/>
            </a:ext>
          </a:extLst>
        </xdr:cNvPr>
        <xdr:cNvSpPr>
          <a:spLocks noChangeArrowheads="1"/>
        </xdr:cNvSpPr>
      </xdr:nvSpPr>
      <xdr:spPr bwMode="auto">
        <a:xfrm>
          <a:off x="10312400" y="7721600"/>
          <a:ext cx="673100" cy="165100"/>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10160</xdr:colOff>
      <xdr:row>54</xdr:row>
      <xdr:rowOff>20320</xdr:rowOff>
    </xdr:from>
    <xdr:ext cx="7569200" cy="46166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16000" y="11003280"/>
          <a:ext cx="7569200" cy="4616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*Negative</a:t>
          </a:r>
          <a:r>
            <a:rPr lang="en-US" sz="1200" baseline="0"/>
            <a:t> balances indicate a SURPLUS.  On the Main page make sure there is no price associated with these surpluses, unless you intend to sell some of the surplus commodity.  Otherwise, your costs will be incorrectly reduced.  </a:t>
          </a:r>
          <a:endParaRPr lang="en-US" sz="12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election activeCell="B17" sqref="B17"/>
    </sheetView>
  </sheetViews>
  <sheetFormatPr defaultColWidth="10.6640625" defaultRowHeight="13.2"/>
  <cols>
    <col min="1" max="1" width="41.109375" customWidth="1"/>
    <col min="2" max="2" width="49" customWidth="1"/>
  </cols>
  <sheetData>
    <row r="1" spans="1:2" ht="20.399999999999999" thickBot="1">
      <c r="A1" s="247" t="s">
        <v>661</v>
      </c>
      <c r="B1" s="247" t="s">
        <v>662</v>
      </c>
    </row>
    <row r="2" spans="1:2" ht="13.8" thickTop="1"/>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1"/>
  <sheetViews>
    <sheetView zoomScale="120" zoomScaleNormal="120" zoomScalePageLayoutView="60" workbookViewId="0">
      <selection activeCell="A2" sqref="A2:G2"/>
    </sheetView>
  </sheetViews>
  <sheetFormatPr defaultColWidth="9.109375" defaultRowHeight="13.8"/>
  <cols>
    <col min="1" max="1" width="42" style="128" customWidth="1"/>
    <col min="2" max="2" width="12.33203125" style="128" customWidth="1"/>
    <col min="3" max="3" width="12.109375" style="152" customWidth="1"/>
    <col min="4" max="4" width="11.33203125" style="153" customWidth="1"/>
    <col min="5" max="5" width="11.6640625" style="153" customWidth="1"/>
    <col min="6" max="6" width="11.109375" style="153" customWidth="1"/>
    <col min="7" max="7" width="9.77734375" style="128" customWidth="1"/>
    <col min="8" max="9" width="9.109375" style="128"/>
    <col min="10" max="10" width="46" style="128" customWidth="1"/>
    <col min="11" max="11" width="11.33203125" style="128" bestFit="1" customWidth="1"/>
    <col min="12" max="13" width="10.109375" style="128" bestFit="1" customWidth="1"/>
    <col min="14" max="14" width="12.44140625" style="128" bestFit="1" customWidth="1"/>
    <col min="15" max="15" width="11.33203125" style="128" bestFit="1" customWidth="1"/>
    <col min="16" max="16" width="10.109375" style="128" bestFit="1" customWidth="1"/>
    <col min="17" max="16384" width="9.109375" style="128"/>
  </cols>
  <sheetData>
    <row r="1" spans="1:8" ht="22.8">
      <c r="A1" s="550" t="s">
        <v>610</v>
      </c>
      <c r="B1" s="550"/>
      <c r="C1" s="550"/>
      <c r="D1" s="550"/>
      <c r="E1" s="550"/>
      <c r="F1" s="550"/>
      <c r="G1" s="550"/>
    </row>
    <row r="2" spans="1:8">
      <c r="A2" s="554"/>
      <c r="B2" s="554"/>
      <c r="C2" s="554"/>
      <c r="D2" s="554"/>
      <c r="E2" s="554"/>
      <c r="F2" s="554"/>
      <c r="G2" s="554"/>
    </row>
    <row r="3" spans="1:8">
      <c r="A3" s="129"/>
      <c r="B3" s="129"/>
      <c r="C3" s="130"/>
      <c r="D3" s="131"/>
      <c r="E3" s="131"/>
      <c r="F3" s="131"/>
      <c r="G3" s="145"/>
    </row>
    <row r="4" spans="1:8" ht="15.6">
      <c r="A4" s="200" t="s">
        <v>609</v>
      </c>
      <c r="B4" s="420">
        <v>12</v>
      </c>
      <c r="C4" s="154" t="s">
        <v>564</v>
      </c>
      <c r="D4" s="131"/>
      <c r="E4" s="551" t="s">
        <v>651</v>
      </c>
      <c r="F4" s="551"/>
      <c r="G4" s="551"/>
    </row>
    <row r="5" spans="1:8" ht="15.6">
      <c r="A5" s="200" t="s">
        <v>607</v>
      </c>
      <c r="B5" s="446">
        <v>75</v>
      </c>
      <c r="C5" s="130"/>
      <c r="D5" s="131"/>
      <c r="E5" s="131"/>
      <c r="F5" s="131"/>
      <c r="G5" s="129"/>
    </row>
    <row r="6" spans="1:8">
      <c r="A6" s="200" t="s">
        <v>608</v>
      </c>
      <c r="B6" s="194">
        <f>+B5*sorghum_yield</f>
        <v>900</v>
      </c>
      <c r="C6" s="130"/>
      <c r="D6" s="131"/>
      <c r="E6" s="131"/>
      <c r="F6" s="131"/>
      <c r="G6" s="129"/>
    </row>
    <row r="7" spans="1:8" ht="14.4" thickBot="1">
      <c r="A7" s="200" t="s">
        <v>553</v>
      </c>
      <c r="B7" s="194">
        <f>+B5*tvc_sorghum</f>
        <v>31030.6875</v>
      </c>
      <c r="C7" s="130"/>
      <c r="D7" s="131"/>
      <c r="E7" s="131"/>
      <c r="F7" s="131"/>
      <c r="G7" s="129"/>
    </row>
    <row r="8" spans="1:8" ht="27">
      <c r="A8" s="133" t="s">
        <v>500</v>
      </c>
      <c r="B8" s="133" t="s">
        <v>501</v>
      </c>
      <c r="C8" s="134" t="s">
        <v>502</v>
      </c>
      <c r="D8" s="135" t="s">
        <v>391</v>
      </c>
      <c r="E8" s="135" t="s">
        <v>503</v>
      </c>
      <c r="F8" s="135" t="str">
        <f>+CONCATENATE("$/",C4)</f>
        <v>$/TON</v>
      </c>
      <c r="G8" s="133" t="s">
        <v>504</v>
      </c>
    </row>
    <row r="9" spans="1:8" ht="15.6">
      <c r="A9" s="129" t="s">
        <v>505</v>
      </c>
      <c r="B9" s="129" t="s">
        <v>506</v>
      </c>
      <c r="C9" s="288">
        <v>150</v>
      </c>
      <c r="D9" s="419">
        <v>9.1999999999999998E-2</v>
      </c>
      <c r="E9" s="131">
        <f>+D9*C9</f>
        <v>13.799999999999999</v>
      </c>
      <c r="F9" s="131">
        <f>+E9/sorghum_yield</f>
        <v>1.1499999999999999</v>
      </c>
      <c r="G9" s="132"/>
      <c r="H9" s="136"/>
    </row>
    <row r="10" spans="1:8" ht="15.6">
      <c r="A10" s="154" t="s">
        <v>672</v>
      </c>
      <c r="B10" s="129" t="s">
        <v>507</v>
      </c>
      <c r="C10" s="288">
        <v>0.5</v>
      </c>
      <c r="D10" s="419">
        <v>42</v>
      </c>
      <c r="E10" s="131">
        <f>+D10*C10</f>
        <v>21</v>
      </c>
      <c r="F10" s="131">
        <f>+E10/sorghum_yield</f>
        <v>1.75</v>
      </c>
      <c r="G10" s="137"/>
    </row>
    <row r="11" spans="1:8" ht="15.6">
      <c r="A11" s="129" t="s">
        <v>508</v>
      </c>
      <c r="B11" s="129"/>
      <c r="C11" s="288"/>
      <c r="D11" s="419"/>
      <c r="E11" s="131"/>
      <c r="F11" s="131"/>
      <c r="G11" s="138"/>
    </row>
    <row r="12" spans="1:8" ht="15.6">
      <c r="A12" s="129" t="s">
        <v>509</v>
      </c>
      <c r="B12" s="129" t="s">
        <v>510</v>
      </c>
      <c r="C12" s="288">
        <v>200</v>
      </c>
      <c r="D12" s="438">
        <v>0.44</v>
      </c>
      <c r="E12" s="131">
        <f t="shared" ref="E12:E16" si="0">+D12*C12</f>
        <v>88</v>
      </c>
      <c r="F12" s="131">
        <f>+E12/sorghum_yield</f>
        <v>7.333333333333333</v>
      </c>
      <c r="G12" s="132"/>
    </row>
    <row r="13" spans="1:8" ht="15.6">
      <c r="A13" s="129" t="s">
        <v>511</v>
      </c>
      <c r="B13" s="129" t="s">
        <v>510</v>
      </c>
      <c r="C13" s="288">
        <v>90</v>
      </c>
      <c r="D13" s="419">
        <v>0.38</v>
      </c>
      <c r="E13" s="131">
        <f t="shared" si="0"/>
        <v>34.200000000000003</v>
      </c>
      <c r="F13" s="131">
        <f>+E13/sorghum_yield</f>
        <v>2.85</v>
      </c>
      <c r="G13" s="137"/>
    </row>
    <row r="14" spans="1:8" ht="15.6">
      <c r="A14" s="129" t="s">
        <v>512</v>
      </c>
      <c r="B14" s="129" t="s">
        <v>510</v>
      </c>
      <c r="C14" s="288">
        <v>125</v>
      </c>
      <c r="D14" s="419">
        <v>0.28999999999999998</v>
      </c>
      <c r="E14" s="131">
        <f t="shared" si="0"/>
        <v>36.25</v>
      </c>
      <c r="F14" s="131">
        <f>+E14/sorghum_yield</f>
        <v>3.0208333333333335</v>
      </c>
      <c r="G14" s="137"/>
    </row>
    <row r="15" spans="1:8" ht="15.6">
      <c r="A15" s="129" t="s">
        <v>513</v>
      </c>
      <c r="B15" s="129" t="s">
        <v>514</v>
      </c>
      <c r="C15" s="288">
        <v>1</v>
      </c>
      <c r="D15" s="419">
        <v>14.59</v>
      </c>
      <c r="E15" s="131">
        <f t="shared" si="0"/>
        <v>14.59</v>
      </c>
      <c r="F15" s="131">
        <f>+E15/sorghum_yield</f>
        <v>1.2158333333333333</v>
      </c>
      <c r="G15" s="137"/>
    </row>
    <row r="16" spans="1:8" ht="15.6">
      <c r="A16" s="129" t="s">
        <v>515</v>
      </c>
      <c r="B16" s="129" t="s">
        <v>514</v>
      </c>
      <c r="C16" s="288">
        <v>1</v>
      </c>
      <c r="D16" s="419">
        <v>6.53</v>
      </c>
      <c r="E16" s="131">
        <f t="shared" si="0"/>
        <v>6.53</v>
      </c>
      <c r="F16" s="131">
        <f>+E16/sorghum_yield</f>
        <v>0.54416666666666669</v>
      </c>
      <c r="G16" s="137"/>
    </row>
    <row r="17" spans="1:7" ht="15.6">
      <c r="A17" s="139" t="s">
        <v>516</v>
      </c>
      <c r="B17" s="129"/>
      <c r="C17" s="288"/>
      <c r="D17" s="419"/>
      <c r="E17" s="131"/>
      <c r="F17" s="131"/>
      <c r="G17" s="138"/>
    </row>
    <row r="18" spans="1:7" ht="15.6">
      <c r="A18" s="129" t="s">
        <v>517</v>
      </c>
      <c r="B18" s="129" t="s">
        <v>518</v>
      </c>
      <c r="C18" s="288">
        <v>3.73</v>
      </c>
      <c r="D18" s="419">
        <v>2.25</v>
      </c>
      <c r="E18" s="131">
        <f t="shared" ref="E18:E22" si="1">+D18*C18</f>
        <v>8.3925000000000001</v>
      </c>
      <c r="F18" s="131">
        <f t="shared" ref="F18:F23" si="2">+E18/sorghum_yield</f>
        <v>0.69937499999999997</v>
      </c>
      <c r="G18" s="132"/>
    </row>
    <row r="19" spans="1:7" ht="15.6">
      <c r="A19" s="129" t="s">
        <v>519</v>
      </c>
      <c r="B19" s="129" t="s">
        <v>514</v>
      </c>
      <c r="C19" s="288">
        <v>1</v>
      </c>
      <c r="D19" s="419">
        <v>6.48</v>
      </c>
      <c r="E19" s="131">
        <f t="shared" si="1"/>
        <v>6.48</v>
      </c>
      <c r="F19" s="131">
        <f t="shared" si="2"/>
        <v>0.54</v>
      </c>
      <c r="G19" s="137"/>
    </row>
    <row r="20" spans="1:7" ht="15.6">
      <c r="A20" s="129" t="s">
        <v>520</v>
      </c>
      <c r="B20" s="129" t="s">
        <v>521</v>
      </c>
      <c r="C20" s="288">
        <v>5</v>
      </c>
      <c r="D20" s="419">
        <v>16.5</v>
      </c>
      <c r="E20" s="131">
        <f t="shared" si="1"/>
        <v>82.5</v>
      </c>
      <c r="F20" s="131">
        <f t="shared" si="2"/>
        <v>6.875</v>
      </c>
      <c r="G20" s="137"/>
    </row>
    <row r="21" spans="1:7" ht="15.6">
      <c r="A21" s="129" t="s">
        <v>522</v>
      </c>
      <c r="B21" s="129" t="s">
        <v>514</v>
      </c>
      <c r="C21" s="288">
        <v>1</v>
      </c>
      <c r="D21" s="419">
        <v>9</v>
      </c>
      <c r="E21" s="131">
        <f t="shared" si="1"/>
        <v>9</v>
      </c>
      <c r="F21" s="131">
        <f t="shared" si="2"/>
        <v>0.75</v>
      </c>
      <c r="G21" s="137"/>
    </row>
    <row r="22" spans="1:7" ht="15.6">
      <c r="A22" s="129" t="s">
        <v>523</v>
      </c>
      <c r="B22" s="129" t="s">
        <v>514</v>
      </c>
      <c r="C22" s="288">
        <v>1</v>
      </c>
      <c r="D22" s="419">
        <v>0</v>
      </c>
      <c r="E22" s="131">
        <f t="shared" si="1"/>
        <v>0</v>
      </c>
      <c r="F22" s="131">
        <f t="shared" si="2"/>
        <v>0</v>
      </c>
      <c r="G22" s="137"/>
    </row>
    <row r="23" spans="1:7">
      <c r="A23" s="141" t="s">
        <v>524</v>
      </c>
      <c r="B23" s="141"/>
      <c r="C23" s="142"/>
      <c r="D23" s="143"/>
      <c r="E23" s="143">
        <f>+SUM(E9:E22)</f>
        <v>320.74250000000001</v>
      </c>
      <c r="F23" s="143">
        <f t="shared" si="2"/>
        <v>26.728541666666668</v>
      </c>
      <c r="G23" s="141"/>
    </row>
    <row r="24" spans="1:7">
      <c r="A24" s="144" t="s">
        <v>525</v>
      </c>
      <c r="B24" s="129"/>
      <c r="C24" s="131"/>
      <c r="D24" s="140"/>
      <c r="E24" s="131"/>
      <c r="F24" s="131"/>
      <c r="G24" s="138"/>
    </row>
    <row r="25" spans="1:7">
      <c r="A25" s="139" t="s">
        <v>535</v>
      </c>
      <c r="B25" s="129"/>
      <c r="C25" s="130"/>
      <c r="D25" s="131"/>
      <c r="E25" s="131"/>
      <c r="F25" s="131"/>
      <c r="G25" s="138"/>
    </row>
    <row r="26" spans="1:7" ht="15.6">
      <c r="A26" s="129" t="s">
        <v>517</v>
      </c>
      <c r="B26" s="129" t="s">
        <v>518</v>
      </c>
      <c r="C26" s="288">
        <v>8</v>
      </c>
      <c r="D26" s="419">
        <v>2.25</v>
      </c>
      <c r="E26" s="131">
        <f>+D26*C26</f>
        <v>18</v>
      </c>
      <c r="F26" s="131">
        <f>+E26/sorghum_yield</f>
        <v>1.5</v>
      </c>
      <c r="G26" s="132"/>
    </row>
    <row r="27" spans="1:7" ht="15.6">
      <c r="A27" s="129" t="s">
        <v>519</v>
      </c>
      <c r="B27" s="129" t="s">
        <v>514</v>
      </c>
      <c r="C27" s="288">
        <v>1</v>
      </c>
      <c r="D27" s="419">
        <v>75</v>
      </c>
      <c r="E27" s="131">
        <f>+D27*C27</f>
        <v>75</v>
      </c>
      <c r="F27" s="131">
        <f>+E27/sorghum_yield</f>
        <v>6.25</v>
      </c>
      <c r="G27" s="137"/>
    </row>
    <row r="28" spans="1:7" ht="15.6">
      <c r="A28" s="145" t="s">
        <v>526</v>
      </c>
      <c r="B28" s="145" t="s">
        <v>507</v>
      </c>
      <c r="C28" s="288">
        <v>0</v>
      </c>
      <c r="D28" s="419">
        <v>10.5</v>
      </c>
      <c r="E28" s="147">
        <f t="shared" ref="E28:E29" si="3">+D28*C28</f>
        <v>0</v>
      </c>
      <c r="F28" s="131">
        <f>+E28/sorghum_yield</f>
        <v>0</v>
      </c>
      <c r="G28" s="132"/>
    </row>
    <row r="29" spans="1:7" ht="15.6">
      <c r="A29" s="148" t="s">
        <v>527</v>
      </c>
      <c r="B29" s="148" t="s">
        <v>507</v>
      </c>
      <c r="C29" s="288">
        <v>0</v>
      </c>
      <c r="D29" s="419">
        <v>8</v>
      </c>
      <c r="E29" s="147">
        <f t="shared" si="3"/>
        <v>0</v>
      </c>
      <c r="F29" s="147">
        <f>+E29/sorghum_yield</f>
        <v>0</v>
      </c>
      <c r="G29" s="145"/>
    </row>
    <row r="30" spans="1:7">
      <c r="A30" s="141" t="s">
        <v>528</v>
      </c>
      <c r="B30" s="141"/>
      <c r="C30" s="142"/>
      <c r="D30" s="143"/>
      <c r="E30" s="143">
        <f>+SUM(E26:E29)</f>
        <v>93</v>
      </c>
      <c r="F30" s="143">
        <f>+SUM(F26:F29)</f>
        <v>7.75</v>
      </c>
      <c r="G30" s="141"/>
    </row>
    <row r="31" spans="1:7" ht="20.25" customHeight="1" thickBot="1">
      <c r="A31" s="149" t="s">
        <v>529</v>
      </c>
      <c r="B31" s="149"/>
      <c r="C31" s="150"/>
      <c r="D31" s="151"/>
      <c r="E31" s="151">
        <f>+E30+E23</f>
        <v>413.74250000000001</v>
      </c>
      <c r="F31" s="151">
        <f>+E31/sorghum_yield</f>
        <v>34.478541666666665</v>
      </c>
      <c r="G31" s="149"/>
    </row>
  </sheetData>
  <sheetProtection sheet="1" objects="1" scenarios="1"/>
  <mergeCells count="3">
    <mergeCell ref="A1:G1"/>
    <mergeCell ref="A2:G2"/>
    <mergeCell ref="E4:G4"/>
  </mergeCells>
  <phoneticPr fontId="19" type="noConversion"/>
  <hyperlinks>
    <hyperlink ref="E4" location="Main!A38" display="RETURN TO MAIN BUDGET" xr:uid="{00000000-0004-0000-0900-000000000000}"/>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G38"/>
  <sheetViews>
    <sheetView zoomScale="110" zoomScaleNormal="110" zoomScalePageLayoutView="70" workbookViewId="0">
      <selection activeCell="A2" sqref="A2"/>
    </sheetView>
  </sheetViews>
  <sheetFormatPr defaultColWidth="8.77734375" defaultRowHeight="15.6"/>
  <cols>
    <col min="1" max="1" width="38.44140625" style="156" customWidth="1"/>
    <col min="2" max="2" width="16.44140625" style="156" customWidth="1"/>
    <col min="3" max="3" width="11.109375" style="156" customWidth="1"/>
    <col min="4" max="4" width="12.44140625" style="156" customWidth="1"/>
    <col min="5" max="6" width="13.6640625" style="156" customWidth="1"/>
    <col min="7" max="17" width="8.77734375" style="156"/>
    <col min="18" max="18" width="9.109375" style="156" customWidth="1"/>
    <col min="19" max="16384" width="8.77734375" style="156"/>
  </cols>
  <sheetData>
    <row r="1" spans="1:6" ht="22.8">
      <c r="A1" s="550" t="s">
        <v>611</v>
      </c>
      <c r="B1" s="550"/>
      <c r="C1" s="550"/>
      <c r="D1" s="550"/>
      <c r="E1" s="550"/>
      <c r="F1" s="550"/>
    </row>
    <row r="2" spans="1:6" ht="22.8">
      <c r="A2" s="267"/>
      <c r="B2" s="267"/>
      <c r="C2" s="267"/>
      <c r="D2" s="267"/>
      <c r="E2" s="267"/>
      <c r="F2" s="267"/>
    </row>
    <row r="3" spans="1:6">
      <c r="A3" s="198" t="s">
        <v>557</v>
      </c>
      <c r="B3" s="421">
        <v>10</v>
      </c>
      <c r="C3" s="170"/>
      <c r="D3" s="551" t="s">
        <v>651</v>
      </c>
      <c r="E3" s="551"/>
      <c r="F3" s="551"/>
    </row>
    <row r="4" spans="1:6">
      <c r="A4" s="199" t="s">
        <v>607</v>
      </c>
      <c r="B4" s="422">
        <v>100</v>
      </c>
      <c r="C4" s="170"/>
      <c r="D4" s="170"/>
      <c r="E4" s="170"/>
      <c r="F4" s="170"/>
    </row>
    <row r="5" spans="1:6">
      <c r="A5" s="199" t="s">
        <v>608</v>
      </c>
      <c r="B5" s="197">
        <f>+B4*WINTER_ANNUAL_YIELD</f>
        <v>1000</v>
      </c>
      <c r="C5" s="170"/>
      <c r="D5" s="170"/>
      <c r="E5" s="170"/>
      <c r="F5" s="170"/>
    </row>
    <row r="6" spans="1:6" ht="16.2" thickBot="1">
      <c r="A6" s="241" t="s">
        <v>553</v>
      </c>
      <c r="B6" s="242">
        <f>+B4*WINTER_ANNUAL_COST</f>
        <v>23085.25</v>
      </c>
      <c r="C6" s="170"/>
      <c r="D6" s="170"/>
      <c r="E6" s="170"/>
      <c r="F6" s="170"/>
    </row>
    <row r="7" spans="1:6" ht="42" customHeight="1" thickBot="1">
      <c r="A7" s="157" t="s">
        <v>24</v>
      </c>
      <c r="B7" s="157" t="s">
        <v>244</v>
      </c>
      <c r="C7" s="455" t="s">
        <v>330</v>
      </c>
      <c r="D7" s="457" t="s">
        <v>331</v>
      </c>
      <c r="E7" s="157" t="s">
        <v>537</v>
      </c>
      <c r="F7" s="157" t="s">
        <v>556</v>
      </c>
    </row>
    <row r="8" spans="1:6" ht="24" customHeight="1">
      <c r="A8" s="558" t="s">
        <v>538</v>
      </c>
      <c r="B8" s="558"/>
      <c r="C8" s="558"/>
      <c r="D8" s="558"/>
      <c r="E8" s="558"/>
      <c r="F8" s="558"/>
    </row>
    <row r="9" spans="1:6">
      <c r="A9" s="158" t="s">
        <v>539</v>
      </c>
      <c r="C9" s="159"/>
    </row>
    <row r="10" spans="1:6">
      <c r="A10" s="453" t="s">
        <v>540</v>
      </c>
      <c r="B10" s="454" t="s">
        <v>541</v>
      </c>
      <c r="C10" s="456">
        <v>0.5</v>
      </c>
      <c r="D10" s="289">
        <v>42</v>
      </c>
      <c r="E10" s="161">
        <f>+D10*C10</f>
        <v>21</v>
      </c>
      <c r="F10" s="161">
        <f>+E10/WINTER_ANNUAL_YIELD</f>
        <v>2.1</v>
      </c>
    </row>
    <row r="11" spans="1:6">
      <c r="A11" s="189" t="s">
        <v>509</v>
      </c>
      <c r="B11" s="189" t="s">
        <v>510</v>
      </c>
      <c r="C11" s="456">
        <v>150</v>
      </c>
      <c r="D11" s="438">
        <v>0.44</v>
      </c>
      <c r="E11" s="161">
        <f t="shared" ref="E11:E13" si="0">+D11*C11</f>
        <v>66</v>
      </c>
      <c r="F11" s="161">
        <f>+E11/WINTER_ANNUAL_YIELD</f>
        <v>6.6</v>
      </c>
    </row>
    <row r="12" spans="1:6">
      <c r="A12" s="189" t="s">
        <v>511</v>
      </c>
      <c r="B12" s="189" t="s">
        <v>510</v>
      </c>
      <c r="C12" s="456">
        <v>50</v>
      </c>
      <c r="D12" s="289">
        <v>0.38</v>
      </c>
      <c r="E12" s="161">
        <f t="shared" si="0"/>
        <v>19</v>
      </c>
      <c r="F12" s="161">
        <f>+E12/WINTER_ANNUAL_YIELD</f>
        <v>1.9</v>
      </c>
    </row>
    <row r="13" spans="1:6">
      <c r="A13" t="s">
        <v>512</v>
      </c>
      <c r="B13" t="s">
        <v>510</v>
      </c>
      <c r="C13" s="456">
        <v>75</v>
      </c>
      <c r="D13" s="289">
        <v>0.28999999999999998</v>
      </c>
      <c r="E13" s="161">
        <f t="shared" si="0"/>
        <v>21.75</v>
      </c>
      <c r="F13" s="161">
        <f>+E13/WINTER_ANNUAL_YIELD</f>
        <v>2.1749999999999998</v>
      </c>
    </row>
    <row r="14" spans="1:6">
      <c r="A14" s="556" t="s">
        <v>542</v>
      </c>
      <c r="B14" s="556"/>
      <c r="C14" s="556"/>
      <c r="D14" s="556"/>
      <c r="E14" s="556"/>
      <c r="F14" s="161"/>
    </row>
    <row r="15" spans="1:6">
      <c r="A15" s="162" t="s">
        <v>544</v>
      </c>
      <c r="B15" s="156" t="s">
        <v>543</v>
      </c>
      <c r="C15" s="456">
        <v>25</v>
      </c>
      <c r="D15" s="289">
        <v>0.6</v>
      </c>
      <c r="E15" s="163">
        <f t="shared" ref="E15:E20" si="1">+D15*C15</f>
        <v>15</v>
      </c>
      <c r="F15" s="161">
        <f>+E15/WINTER_ANNUAL_YIELD</f>
        <v>1.5</v>
      </c>
    </row>
    <row r="16" spans="1:6">
      <c r="A16" s="162" t="s">
        <v>554</v>
      </c>
      <c r="B16" s="156" t="s">
        <v>543</v>
      </c>
      <c r="C16" s="456">
        <v>0</v>
      </c>
      <c r="D16" s="289"/>
      <c r="E16" s="163">
        <f t="shared" si="1"/>
        <v>0</v>
      </c>
      <c r="F16" s="161">
        <f>+E16/WINTER_ANNUAL_YIELD</f>
        <v>0</v>
      </c>
    </row>
    <row r="17" spans="1:7">
      <c r="A17" s="160" t="s">
        <v>554</v>
      </c>
      <c r="B17" s="156" t="s">
        <v>543</v>
      </c>
      <c r="C17" s="456">
        <v>0</v>
      </c>
      <c r="D17" s="289"/>
      <c r="E17" s="163">
        <f t="shared" si="1"/>
        <v>0</v>
      </c>
      <c r="F17" s="161">
        <f>+E17/WINTER_ANNUAL_YIELD</f>
        <v>0</v>
      </c>
    </row>
    <row r="18" spans="1:7">
      <c r="A18" s="160" t="s">
        <v>554</v>
      </c>
      <c r="B18" s="156" t="s">
        <v>543</v>
      </c>
      <c r="C18" s="456">
        <v>0</v>
      </c>
      <c r="D18" s="289"/>
      <c r="E18" s="163">
        <f t="shared" si="1"/>
        <v>0</v>
      </c>
      <c r="F18" s="161">
        <f>+E18/WINTER_ANNUAL_YIELD</f>
        <v>0</v>
      </c>
    </row>
    <row r="19" spans="1:7">
      <c r="A19" s="556" t="s">
        <v>545</v>
      </c>
      <c r="B19" s="556"/>
      <c r="C19" s="556"/>
      <c r="D19" s="556"/>
      <c r="E19" s="556"/>
      <c r="F19" s="161"/>
    </row>
    <row r="20" spans="1:7">
      <c r="A20" s="156" t="s">
        <v>546</v>
      </c>
      <c r="B20" s="156" t="s">
        <v>547</v>
      </c>
      <c r="C20" s="456">
        <v>3</v>
      </c>
      <c r="D20" s="289">
        <v>7</v>
      </c>
      <c r="E20" s="163">
        <f t="shared" si="1"/>
        <v>21</v>
      </c>
      <c r="F20" s="161">
        <f>+E20/WINTER_ANNUAL_YIELD</f>
        <v>2.1</v>
      </c>
    </row>
    <row r="21" spans="1:7">
      <c r="A21" s="556" t="s">
        <v>549</v>
      </c>
      <c r="B21" s="556"/>
      <c r="C21" s="556"/>
      <c r="D21" s="556"/>
      <c r="E21" s="556"/>
      <c r="F21" s="161"/>
    </row>
    <row r="22" spans="1:7">
      <c r="A22" s="156" t="s">
        <v>548</v>
      </c>
      <c r="B22" s="156" t="s">
        <v>550</v>
      </c>
      <c r="C22" s="456">
        <v>1.49</v>
      </c>
      <c r="D22" s="289">
        <v>2.25</v>
      </c>
      <c r="E22" s="163">
        <f t="shared" ref="E22:E26" si="2">+D22*C22</f>
        <v>3.3525</v>
      </c>
      <c r="F22" s="161">
        <f>+E22/WINTER_ANNUAL_YIELD</f>
        <v>0.33524999999999999</v>
      </c>
    </row>
    <row r="23" spans="1:7">
      <c r="A23" s="556" t="s">
        <v>551</v>
      </c>
      <c r="B23" s="556"/>
      <c r="C23" s="556"/>
      <c r="D23" s="556"/>
      <c r="E23" s="556"/>
      <c r="F23" s="161"/>
    </row>
    <row r="24" spans="1:7">
      <c r="A24" s="458" t="s">
        <v>707</v>
      </c>
      <c r="B24" s="156" t="s">
        <v>552</v>
      </c>
      <c r="C24" s="456">
        <v>1</v>
      </c>
      <c r="D24" s="289">
        <v>2.12</v>
      </c>
      <c r="E24" s="163">
        <f t="shared" si="2"/>
        <v>2.12</v>
      </c>
      <c r="F24" s="161">
        <f>+E24/WINTER_ANNUAL_YIELD</f>
        <v>0.21200000000000002</v>
      </c>
    </row>
    <row r="25" spans="1:7">
      <c r="A25" s="458" t="s">
        <v>708</v>
      </c>
      <c r="B25" s="156" t="s">
        <v>552</v>
      </c>
      <c r="C25" s="456">
        <v>1</v>
      </c>
      <c r="D25" s="289">
        <v>0.38</v>
      </c>
      <c r="E25" s="163">
        <f t="shared" ref="E25" si="3">+D25*C25</f>
        <v>0.38</v>
      </c>
      <c r="F25" s="161">
        <f>+E25/WINTER_ANNUAL_YIELD</f>
        <v>3.7999999999999999E-2</v>
      </c>
    </row>
    <row r="26" spans="1:7">
      <c r="A26" s="423" t="s">
        <v>692</v>
      </c>
      <c r="B26" s="164" t="s">
        <v>552</v>
      </c>
      <c r="C26" s="456">
        <v>0</v>
      </c>
      <c r="D26" s="289">
        <v>1</v>
      </c>
      <c r="E26" s="165">
        <f t="shared" si="2"/>
        <v>0</v>
      </c>
      <c r="F26" s="161">
        <f>+E26/WINTER_ANNUAL_YIELD</f>
        <v>0</v>
      </c>
    </row>
    <row r="27" spans="1:7" ht="30.75" customHeight="1" thickBot="1">
      <c r="A27" s="557" t="s">
        <v>555</v>
      </c>
      <c r="B27" s="557"/>
      <c r="C27" s="557"/>
      <c r="D27" s="557"/>
      <c r="E27" s="171">
        <f>+SUM(E10:E26)</f>
        <v>169.60249999999999</v>
      </c>
      <c r="F27" s="172">
        <f>+E27/WINTER_ANNUAL_YIELD</f>
        <v>16.960249999999998</v>
      </c>
    </row>
    <row r="28" spans="1:7" s="128" customFormat="1" ht="16.2" thickTop="1">
      <c r="A28" s="173" t="s">
        <v>525</v>
      </c>
      <c r="B28" s="174"/>
      <c r="C28" s="175"/>
      <c r="D28" s="176"/>
      <c r="E28" s="175"/>
      <c r="F28" s="175"/>
      <c r="G28" s="167"/>
    </row>
    <row r="29" spans="1:7" s="128" customFormat="1">
      <c r="A29" s="177" t="s">
        <v>535</v>
      </c>
      <c r="B29" s="174"/>
      <c r="C29" s="178"/>
      <c r="D29" s="175"/>
      <c r="E29" s="175"/>
      <c r="F29" s="175"/>
      <c r="G29" s="167"/>
    </row>
    <row r="30" spans="1:7" s="128" customFormat="1">
      <c r="A30" s="174" t="s">
        <v>517</v>
      </c>
      <c r="B30" s="174" t="s">
        <v>518</v>
      </c>
      <c r="C30" s="288">
        <v>5</v>
      </c>
      <c r="D30" s="419">
        <v>2.25</v>
      </c>
      <c r="E30" s="175">
        <f>+D30*C30</f>
        <v>11.25</v>
      </c>
      <c r="F30" s="179">
        <f t="shared" ref="F30:F35" si="4">+E30/WINTER_ANNUAL_YIELD</f>
        <v>1.125</v>
      </c>
      <c r="G30" s="167"/>
    </row>
    <row r="31" spans="1:7" s="128" customFormat="1">
      <c r="A31" s="174" t="s">
        <v>519</v>
      </c>
      <c r="B31" s="174" t="s">
        <v>514</v>
      </c>
      <c r="C31" s="288">
        <v>1</v>
      </c>
      <c r="D31" s="419">
        <v>50</v>
      </c>
      <c r="E31" s="175">
        <f>+D31*C31</f>
        <v>50</v>
      </c>
      <c r="F31" s="179">
        <f t="shared" si="4"/>
        <v>5</v>
      </c>
      <c r="G31" s="167"/>
    </row>
    <row r="32" spans="1:7" s="128" customFormat="1">
      <c r="A32" s="180" t="s">
        <v>526</v>
      </c>
      <c r="B32" s="180" t="s">
        <v>507</v>
      </c>
      <c r="C32" s="288">
        <v>0</v>
      </c>
      <c r="D32" s="419">
        <v>10.5</v>
      </c>
      <c r="E32" s="181">
        <f t="shared" ref="E32:E33" si="5">+D32*C32</f>
        <v>0</v>
      </c>
      <c r="F32" s="179">
        <f t="shared" si="4"/>
        <v>0</v>
      </c>
      <c r="G32" s="167"/>
    </row>
    <row r="33" spans="1:7" s="128" customFormat="1">
      <c r="A33" s="180" t="s">
        <v>527</v>
      </c>
      <c r="B33" s="180" t="s">
        <v>507</v>
      </c>
      <c r="C33" s="288">
        <v>0</v>
      </c>
      <c r="D33" s="419">
        <v>8</v>
      </c>
      <c r="E33" s="181">
        <f t="shared" si="5"/>
        <v>0</v>
      </c>
      <c r="F33" s="179">
        <f t="shared" si="4"/>
        <v>0</v>
      </c>
      <c r="G33" s="167"/>
    </row>
    <row r="34" spans="1:7" s="128" customFormat="1" ht="16.2" thickBot="1">
      <c r="A34" s="182" t="s">
        <v>528</v>
      </c>
      <c r="B34" s="182"/>
      <c r="C34" s="183"/>
      <c r="D34" s="184"/>
      <c r="E34" s="184">
        <f>+SUM(E30:E33)</f>
        <v>61.25</v>
      </c>
      <c r="F34" s="185">
        <f t="shared" si="4"/>
        <v>6.125</v>
      </c>
      <c r="G34" s="168"/>
    </row>
    <row r="35" spans="1:7" ht="30" customHeight="1" thickTop="1" thickBot="1">
      <c r="A35" s="557" t="s">
        <v>553</v>
      </c>
      <c r="B35" s="557"/>
      <c r="C35" s="557"/>
      <c r="D35" s="557"/>
      <c r="E35" s="171">
        <f>+E34+TOTAL_OPS_COST</f>
        <v>230.85249999999999</v>
      </c>
      <c r="F35" s="172">
        <f t="shared" si="4"/>
        <v>23.085249999999998</v>
      </c>
      <c r="G35" s="169"/>
    </row>
    <row r="36" spans="1:7" ht="16.2" thickTop="1">
      <c r="A36" s="166"/>
      <c r="B36" s="166"/>
      <c r="C36" s="166"/>
      <c r="D36" s="166"/>
      <c r="E36" s="166"/>
      <c r="F36" s="166"/>
      <c r="G36" s="166"/>
    </row>
    <row r="37" spans="1:7">
      <c r="A37" s="166"/>
      <c r="B37" s="166"/>
      <c r="C37" s="166"/>
      <c r="D37" s="166"/>
      <c r="E37" s="166"/>
      <c r="F37" s="166"/>
      <c r="G37" s="166"/>
    </row>
    <row r="38" spans="1:7">
      <c r="A38" s="166"/>
      <c r="B38" s="166"/>
      <c r="C38" s="166"/>
      <c r="D38" s="166"/>
      <c r="E38" s="166"/>
      <c r="F38" s="166"/>
      <c r="G38" s="166"/>
    </row>
  </sheetData>
  <sheetProtection sheet="1" objects="1" scenarios="1"/>
  <mergeCells count="9">
    <mergeCell ref="A1:F1"/>
    <mergeCell ref="A23:E23"/>
    <mergeCell ref="A27:D27"/>
    <mergeCell ref="A35:D35"/>
    <mergeCell ref="A8:F8"/>
    <mergeCell ref="A14:E14"/>
    <mergeCell ref="A19:E19"/>
    <mergeCell ref="A21:E21"/>
    <mergeCell ref="D3:F3"/>
  </mergeCells>
  <phoneticPr fontId="19" type="noConversion"/>
  <hyperlinks>
    <hyperlink ref="D3" location="Main!A39" display="RETURN TO MAIN BUDGET" xr:uid="{00000000-0004-0000-0A00-000000000000}"/>
    <hyperlink ref="E3" location="Main!A39" display="Main!A39" xr:uid="{00000000-0004-0000-0A00-000001000000}"/>
    <hyperlink ref="F3" location="Main!A39" display="Main!A39" xr:uid="{00000000-0004-0000-0A00-000002000000}"/>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fitToPage="1"/>
  </sheetPr>
  <dimension ref="A1:G30"/>
  <sheetViews>
    <sheetView zoomScale="120" zoomScaleNormal="120" zoomScalePageLayoutView="70" workbookViewId="0">
      <selection activeCell="A2" sqref="A2"/>
    </sheetView>
  </sheetViews>
  <sheetFormatPr defaultColWidth="8.77734375" defaultRowHeight="15.6"/>
  <cols>
    <col min="1" max="1" width="38.44140625" style="156" customWidth="1"/>
    <col min="2" max="2" width="16" style="156" customWidth="1"/>
    <col min="3" max="3" width="11.109375" style="156" customWidth="1"/>
    <col min="4" max="4" width="12.44140625" style="156" customWidth="1"/>
    <col min="5" max="6" width="13.6640625" style="156" customWidth="1"/>
    <col min="7" max="17" width="8.77734375" style="156"/>
    <col min="18" max="18" width="9.109375" style="156" customWidth="1"/>
    <col min="19" max="16384" width="8.77734375" style="156"/>
  </cols>
  <sheetData>
    <row r="1" spans="1:6" ht="22.8">
      <c r="A1" s="550" t="s">
        <v>658</v>
      </c>
      <c r="B1" s="550"/>
      <c r="C1" s="550"/>
      <c r="D1" s="550"/>
      <c r="E1" s="550"/>
      <c r="F1" s="550"/>
    </row>
    <row r="2" spans="1:6" ht="22.8">
      <c r="A2" s="269"/>
      <c r="B2" s="269"/>
      <c r="C2" s="269"/>
      <c r="D2" s="269"/>
      <c r="E2" s="269"/>
      <c r="F2" s="269"/>
    </row>
    <row r="3" spans="1:6">
      <c r="A3" s="198" t="s">
        <v>557</v>
      </c>
      <c r="B3" s="421">
        <v>30</v>
      </c>
      <c r="C3" s="170"/>
      <c r="D3" s="551" t="s">
        <v>651</v>
      </c>
      <c r="E3" s="551"/>
      <c r="F3" s="551"/>
    </row>
    <row r="4" spans="1:6">
      <c r="A4" s="199" t="s">
        <v>607</v>
      </c>
      <c r="B4" s="422">
        <v>200</v>
      </c>
      <c r="C4" s="170"/>
      <c r="D4" s="170"/>
      <c r="E4" s="170"/>
      <c r="F4" s="170"/>
    </row>
    <row r="5" spans="1:6">
      <c r="A5" s="199" t="s">
        <v>608</v>
      </c>
      <c r="B5" s="197">
        <f>+B4*Winter_grz_yld</f>
        <v>6000</v>
      </c>
      <c r="C5" s="170"/>
      <c r="D5" s="170"/>
      <c r="E5" s="170"/>
      <c r="F5" s="170"/>
    </row>
    <row r="6" spans="1:6" ht="16.2" thickBot="1">
      <c r="A6" s="241" t="s">
        <v>553</v>
      </c>
      <c r="B6" s="242">
        <f>+B4*WINTER_GRAZING_COST</f>
        <v>18210.5</v>
      </c>
      <c r="C6" s="170"/>
      <c r="D6" s="170"/>
      <c r="E6" s="170"/>
      <c r="F6" s="170"/>
    </row>
    <row r="7" spans="1:6" ht="42" customHeight="1" thickBot="1">
      <c r="A7" s="157" t="s">
        <v>24</v>
      </c>
      <c r="B7" s="157" t="s">
        <v>244</v>
      </c>
      <c r="C7" s="455" t="s">
        <v>330</v>
      </c>
      <c r="D7" s="457" t="s">
        <v>331</v>
      </c>
      <c r="E7" s="157" t="s">
        <v>537</v>
      </c>
      <c r="F7" s="157" t="s">
        <v>556</v>
      </c>
    </row>
    <row r="8" spans="1:6" ht="24" customHeight="1">
      <c r="A8" s="558" t="s">
        <v>538</v>
      </c>
      <c r="B8" s="558"/>
      <c r="C8" s="558"/>
      <c r="D8" s="558"/>
      <c r="E8" s="558"/>
      <c r="F8" s="558"/>
    </row>
    <row r="9" spans="1:6">
      <c r="A9" s="270" t="s">
        <v>539</v>
      </c>
      <c r="C9" s="159"/>
    </row>
    <row r="10" spans="1:6">
      <c r="A10" s="453" t="s">
        <v>540</v>
      </c>
      <c r="B10" s="454" t="s">
        <v>541</v>
      </c>
      <c r="C10" s="456">
        <v>0.5</v>
      </c>
      <c r="D10" s="289">
        <v>42</v>
      </c>
      <c r="E10" s="161">
        <f>+D10*C10</f>
        <v>21</v>
      </c>
      <c r="F10" s="161">
        <f>+E10/WINTER_ANNUAL_YIELD</f>
        <v>2.1</v>
      </c>
    </row>
    <row r="11" spans="1:6">
      <c r="A11" s="189" t="s">
        <v>509</v>
      </c>
      <c r="B11" s="189" t="s">
        <v>510</v>
      </c>
      <c r="C11" s="456">
        <v>80</v>
      </c>
      <c r="D11" s="438">
        <v>0.44</v>
      </c>
      <c r="E11" s="161">
        <f t="shared" ref="E11:E13" si="0">+D11*C11</f>
        <v>35.200000000000003</v>
      </c>
      <c r="F11" s="161">
        <f>+E11/WINTER_ANNUAL_YIELD</f>
        <v>3.5200000000000005</v>
      </c>
    </row>
    <row r="12" spans="1:6">
      <c r="A12" s="189" t="s">
        <v>511</v>
      </c>
      <c r="B12" s="189" t="s">
        <v>510</v>
      </c>
      <c r="C12" s="456">
        <v>0</v>
      </c>
      <c r="D12" s="289">
        <v>0.38</v>
      </c>
      <c r="E12" s="161">
        <f t="shared" si="0"/>
        <v>0</v>
      </c>
      <c r="F12" s="161">
        <f>+E12/WINTER_ANNUAL_YIELD</f>
        <v>0</v>
      </c>
    </row>
    <row r="13" spans="1:6">
      <c r="A13" t="s">
        <v>512</v>
      </c>
      <c r="B13" t="s">
        <v>510</v>
      </c>
      <c r="C13" s="456">
        <v>0</v>
      </c>
      <c r="D13" s="289">
        <v>0.28999999999999998</v>
      </c>
      <c r="E13" s="161">
        <f t="shared" si="0"/>
        <v>0</v>
      </c>
      <c r="F13" s="161">
        <f>+E13/WINTER_ANNUAL_YIELD</f>
        <v>0</v>
      </c>
    </row>
    <row r="14" spans="1:6">
      <c r="A14" s="556" t="s">
        <v>542</v>
      </c>
      <c r="B14" s="556"/>
      <c r="C14" s="556"/>
      <c r="D14" s="556"/>
      <c r="E14" s="556"/>
      <c r="F14" s="161"/>
    </row>
    <row r="15" spans="1:6">
      <c r="A15" s="162" t="s">
        <v>544</v>
      </c>
      <c r="B15" s="156" t="s">
        <v>543</v>
      </c>
      <c r="C15" s="456">
        <v>25</v>
      </c>
      <c r="D15" s="289">
        <v>0.6</v>
      </c>
      <c r="E15" s="163">
        <f t="shared" ref="E15:E20" si="1">+D15*C15</f>
        <v>15</v>
      </c>
      <c r="F15" s="161">
        <f>+E15/WINTER_ANNUAL_YIELD</f>
        <v>1.5</v>
      </c>
    </row>
    <row r="16" spans="1:6">
      <c r="A16" s="162" t="s">
        <v>554</v>
      </c>
      <c r="B16" s="156" t="s">
        <v>543</v>
      </c>
      <c r="C16" s="456">
        <v>0</v>
      </c>
      <c r="D16" s="289"/>
      <c r="E16" s="163">
        <f t="shared" si="1"/>
        <v>0</v>
      </c>
      <c r="F16" s="161">
        <f>+E16/WINTER_ANNUAL_YIELD</f>
        <v>0</v>
      </c>
    </row>
    <row r="17" spans="1:7">
      <c r="A17" s="160" t="s">
        <v>554</v>
      </c>
      <c r="B17" s="156" t="s">
        <v>543</v>
      </c>
      <c r="C17" s="456">
        <v>0</v>
      </c>
      <c r="D17" s="289"/>
      <c r="E17" s="163">
        <f t="shared" si="1"/>
        <v>0</v>
      </c>
      <c r="F17" s="161">
        <f>+E17/WINTER_ANNUAL_YIELD</f>
        <v>0</v>
      </c>
    </row>
    <row r="18" spans="1:7">
      <c r="A18" s="160" t="s">
        <v>554</v>
      </c>
      <c r="B18" s="156" t="s">
        <v>543</v>
      </c>
      <c r="C18" s="456">
        <v>0</v>
      </c>
      <c r="D18" s="289"/>
      <c r="E18" s="163">
        <f t="shared" si="1"/>
        <v>0</v>
      </c>
      <c r="F18" s="161">
        <f>+E18/WINTER_ANNUAL_YIELD</f>
        <v>0</v>
      </c>
    </row>
    <row r="19" spans="1:7">
      <c r="A19" s="556" t="s">
        <v>545</v>
      </c>
      <c r="B19" s="556"/>
      <c r="C19" s="556"/>
      <c r="D19" s="556"/>
      <c r="E19" s="556"/>
      <c r="F19" s="161"/>
    </row>
    <row r="20" spans="1:7">
      <c r="A20" s="156" t="s">
        <v>546</v>
      </c>
      <c r="B20" s="156" t="s">
        <v>547</v>
      </c>
      <c r="C20" s="456">
        <v>2</v>
      </c>
      <c r="D20" s="289">
        <v>7</v>
      </c>
      <c r="E20" s="163">
        <f t="shared" si="1"/>
        <v>14</v>
      </c>
      <c r="F20" s="161">
        <f>+E20/WINTER_ANNUAL_YIELD</f>
        <v>1.4</v>
      </c>
    </row>
    <row r="21" spans="1:7">
      <c r="A21" s="556" t="s">
        <v>549</v>
      </c>
      <c r="B21" s="556"/>
      <c r="C21" s="556"/>
      <c r="D21" s="556"/>
      <c r="E21" s="556"/>
      <c r="F21" s="161"/>
    </row>
    <row r="22" spans="1:7">
      <c r="A22" s="156" t="s">
        <v>548</v>
      </c>
      <c r="B22" s="156" t="s">
        <v>550</v>
      </c>
      <c r="C22" s="456">
        <v>1.49</v>
      </c>
      <c r="D22" s="289">
        <v>2.25</v>
      </c>
      <c r="E22" s="163">
        <f t="shared" ref="E22:E26" si="2">+D22*C22</f>
        <v>3.3525</v>
      </c>
      <c r="F22" s="161">
        <f>+E22/WINTER_ANNUAL_YIELD</f>
        <v>0.33524999999999999</v>
      </c>
    </row>
    <row r="23" spans="1:7">
      <c r="A23" s="556" t="s">
        <v>551</v>
      </c>
      <c r="B23" s="556"/>
      <c r="C23" s="556"/>
      <c r="D23" s="556"/>
      <c r="E23" s="556"/>
      <c r="F23" s="161"/>
    </row>
    <row r="24" spans="1:7">
      <c r="A24" s="458" t="s">
        <v>707</v>
      </c>
      <c r="B24" s="156" t="s">
        <v>552</v>
      </c>
      <c r="C24" s="456">
        <v>1</v>
      </c>
      <c r="D24" s="289">
        <v>2.12</v>
      </c>
      <c r="E24" s="163">
        <f t="shared" si="2"/>
        <v>2.12</v>
      </c>
      <c r="F24" s="161">
        <f>+E24/WINTER_ANNUAL_YIELD</f>
        <v>0.21200000000000002</v>
      </c>
    </row>
    <row r="25" spans="1:7">
      <c r="A25" s="458" t="s">
        <v>708</v>
      </c>
      <c r="B25" s="156" t="s">
        <v>552</v>
      </c>
      <c r="C25" s="456">
        <v>1</v>
      </c>
      <c r="D25" s="289">
        <v>0.38</v>
      </c>
      <c r="E25" s="165">
        <f t="shared" si="2"/>
        <v>0.38</v>
      </c>
      <c r="F25" s="161">
        <f>+E25/WINTER_ANNUAL_YIELD</f>
        <v>3.7999999999999999E-2</v>
      </c>
    </row>
    <row r="26" spans="1:7">
      <c r="A26" s="452" t="s">
        <v>692</v>
      </c>
      <c r="B26" s="164" t="s">
        <v>552</v>
      </c>
      <c r="C26" s="456">
        <v>0</v>
      </c>
      <c r="D26" s="289">
        <v>1</v>
      </c>
      <c r="E26" s="165">
        <f t="shared" si="2"/>
        <v>0</v>
      </c>
      <c r="F26" s="161">
        <f>+E26/WINTER_ANNUAL_YIELD</f>
        <v>0</v>
      </c>
    </row>
    <row r="27" spans="1:7" ht="30" customHeight="1" thickBot="1">
      <c r="A27" s="557" t="s">
        <v>553</v>
      </c>
      <c r="B27" s="557"/>
      <c r="C27" s="557"/>
      <c r="D27" s="557"/>
      <c r="E27" s="171">
        <f>+SUM(E10:E13)+SUM(E15:E18)+E20+E22+SUM(E24:E26)</f>
        <v>91.052500000000009</v>
      </c>
      <c r="F27" s="172">
        <f t="shared" ref="F27" si="3">+E27/WINTER_ANNUAL_YIELD</f>
        <v>9.1052500000000016</v>
      </c>
      <c r="G27" s="169"/>
    </row>
    <row r="28" spans="1:7" ht="16.2" thickTop="1">
      <c r="A28" s="166"/>
      <c r="B28" s="166"/>
      <c r="C28" s="166"/>
      <c r="D28" s="166"/>
      <c r="E28" s="166"/>
      <c r="F28" s="166"/>
      <c r="G28" s="166"/>
    </row>
    <row r="29" spans="1:7">
      <c r="A29" s="166"/>
      <c r="B29" s="166"/>
      <c r="C29" s="166"/>
      <c r="D29" s="166"/>
      <c r="E29" s="166"/>
      <c r="F29" s="166"/>
      <c r="G29" s="166"/>
    </row>
    <row r="30" spans="1:7">
      <c r="A30" s="166"/>
      <c r="B30" s="166"/>
      <c r="C30" s="166"/>
      <c r="D30" s="166"/>
      <c r="E30" s="166"/>
      <c r="F30" s="166"/>
      <c r="G30" s="166"/>
    </row>
  </sheetData>
  <sheetProtection sheet="1" objects="1" scenarios="1"/>
  <mergeCells count="8">
    <mergeCell ref="A21:E21"/>
    <mergeCell ref="A23:E23"/>
    <mergeCell ref="A27:D27"/>
    <mergeCell ref="A1:F1"/>
    <mergeCell ref="D3:F3"/>
    <mergeCell ref="A8:F8"/>
    <mergeCell ref="A14:E14"/>
    <mergeCell ref="A19:E19"/>
  </mergeCells>
  <hyperlinks>
    <hyperlink ref="D3" location="Main!A39" display="RETURN TO MAIN BUDGET" xr:uid="{00000000-0004-0000-0B00-000000000000}"/>
    <hyperlink ref="E3" location="Main!A39" display="Main!A39" xr:uid="{00000000-0004-0000-0B00-000001000000}"/>
    <hyperlink ref="F3" location="Main!A39" display="Main!A39" xr:uid="{00000000-0004-0000-0B00-000002000000}"/>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A1:H25"/>
  <sheetViews>
    <sheetView zoomScale="130" zoomScaleNormal="130" zoomScalePageLayoutView="70" workbookViewId="0">
      <selection activeCell="C2" sqref="C2"/>
    </sheetView>
  </sheetViews>
  <sheetFormatPr defaultColWidth="8.44140625" defaultRowHeight="15"/>
  <cols>
    <col min="1" max="1" width="27.77734375" style="430" customWidth="1"/>
    <col min="2" max="2" width="20.77734375" style="430" customWidth="1"/>
    <col min="3" max="3" width="12" style="430" customWidth="1"/>
    <col min="4" max="4" width="15.33203125" style="430" customWidth="1"/>
    <col min="5" max="5" width="8.33203125" style="430" customWidth="1"/>
    <col min="6" max="6" width="10.77734375" style="430" customWidth="1"/>
    <col min="7" max="7" width="11.77734375" style="430" customWidth="1"/>
    <col min="8" max="8" width="11.33203125" style="430" customWidth="1"/>
    <col min="9" max="9" width="8.44140625" style="430" customWidth="1"/>
    <col min="10" max="16384" width="8.44140625" style="430"/>
  </cols>
  <sheetData>
    <row r="1" spans="1:8" ht="22.8">
      <c r="A1" s="562" t="s">
        <v>652</v>
      </c>
      <c r="B1" s="562"/>
      <c r="C1" s="562"/>
      <c r="D1" s="562"/>
      <c r="E1" s="562"/>
      <c r="F1" s="562"/>
      <c r="G1" s="562"/>
      <c r="H1" s="562"/>
    </row>
    <row r="2" spans="1:8" ht="15.6">
      <c r="A2" s="430" t="s">
        <v>585</v>
      </c>
      <c r="B2" s="431">
        <v>10</v>
      </c>
      <c r="G2" s="432"/>
    </row>
    <row r="3" spans="1:8" ht="15.6">
      <c r="A3" s="430" t="s">
        <v>612</v>
      </c>
      <c r="B3" s="431">
        <v>75</v>
      </c>
      <c r="F3" s="563" t="s">
        <v>651</v>
      </c>
      <c r="G3" s="563"/>
      <c r="H3" s="563"/>
    </row>
    <row r="4" spans="1:8">
      <c r="A4" s="430" t="s">
        <v>608</v>
      </c>
      <c r="B4" s="433">
        <f>+B3*bermuda_yield</f>
        <v>750</v>
      </c>
      <c r="G4" s="432"/>
    </row>
    <row r="5" spans="1:8" ht="15.6" thickBot="1">
      <c r="A5" s="430" t="s">
        <v>584</v>
      </c>
      <c r="B5" s="434">
        <f>+B3*BERMUDA_PRODUCTION_COST</f>
        <v>34035.5625</v>
      </c>
      <c r="G5" s="432"/>
    </row>
    <row r="6" spans="1:8" ht="31.8" thickBot="1">
      <c r="A6" s="564" t="s">
        <v>24</v>
      </c>
      <c r="B6" s="565"/>
      <c r="C6" s="565"/>
      <c r="D6" s="435" t="s">
        <v>558</v>
      </c>
      <c r="E6" s="435" t="s">
        <v>559</v>
      </c>
      <c r="F6" s="435" t="s">
        <v>560</v>
      </c>
      <c r="G6" s="436" t="s">
        <v>561</v>
      </c>
      <c r="H6" s="436" t="s">
        <v>562</v>
      </c>
    </row>
    <row r="7" spans="1:8" ht="15.6">
      <c r="A7" s="429" t="s">
        <v>12</v>
      </c>
      <c r="B7" s="428"/>
      <c r="C7" s="428"/>
      <c r="D7" s="428"/>
      <c r="E7" s="428"/>
      <c r="F7" s="428"/>
      <c r="G7" s="428"/>
      <c r="H7" s="428"/>
    </row>
    <row r="8" spans="1:8" ht="15.6">
      <c r="A8" s="559" t="s">
        <v>563</v>
      </c>
      <c r="B8" s="559"/>
      <c r="C8" s="559"/>
      <c r="D8" s="442" t="s">
        <v>564</v>
      </c>
      <c r="E8" s="437">
        <v>0.5</v>
      </c>
      <c r="F8" s="438">
        <v>42</v>
      </c>
      <c r="G8" s="439">
        <f>+F8*E8</f>
        <v>21</v>
      </c>
      <c r="H8" s="439">
        <f>+G8/bermuda_yield</f>
        <v>2.1</v>
      </c>
    </row>
    <row r="9" spans="1:8" ht="15.6">
      <c r="A9" s="559" t="s">
        <v>565</v>
      </c>
      <c r="B9" s="559"/>
      <c r="C9" s="559"/>
      <c r="D9" s="442"/>
      <c r="E9" s="437"/>
      <c r="F9" s="438"/>
      <c r="G9" s="439"/>
      <c r="H9" s="439"/>
    </row>
    <row r="10" spans="1:8" ht="15.6">
      <c r="A10" s="559" t="s">
        <v>566</v>
      </c>
      <c r="B10" s="559"/>
      <c r="C10" s="559"/>
      <c r="D10" s="442" t="s">
        <v>567</v>
      </c>
      <c r="E10" s="437">
        <v>350</v>
      </c>
      <c r="F10" s="438">
        <v>0.44</v>
      </c>
      <c r="G10" s="439">
        <f t="shared" ref="G10:G12" si="0">+F10*E10</f>
        <v>154</v>
      </c>
      <c r="H10" s="439">
        <f>+G10/bermuda_yield</f>
        <v>15.4</v>
      </c>
    </row>
    <row r="11" spans="1:8" ht="15.6">
      <c r="A11" s="559" t="s">
        <v>568</v>
      </c>
      <c r="B11" s="559"/>
      <c r="C11" s="559"/>
      <c r="D11" s="442" t="s">
        <v>567</v>
      </c>
      <c r="E11" s="437">
        <v>60</v>
      </c>
      <c r="F11" s="438">
        <v>0.38</v>
      </c>
      <c r="G11" s="439">
        <f t="shared" si="0"/>
        <v>22.8</v>
      </c>
      <c r="H11" s="439">
        <f>+G11/bermuda_yield</f>
        <v>2.2800000000000002</v>
      </c>
    </row>
    <row r="12" spans="1:8" ht="15.6">
      <c r="A12" s="559" t="s">
        <v>569</v>
      </c>
      <c r="B12" s="559"/>
      <c r="C12" s="559"/>
      <c r="D12" s="442" t="s">
        <v>567</v>
      </c>
      <c r="E12" s="437">
        <v>180</v>
      </c>
      <c r="F12" s="438">
        <v>0.28999999999999998</v>
      </c>
      <c r="G12" s="439">
        <f t="shared" si="0"/>
        <v>52.199999999999996</v>
      </c>
      <c r="H12" s="439">
        <f>+G12/bermuda_yield</f>
        <v>5.22</v>
      </c>
    </row>
    <row r="13" spans="1:8" ht="15.6">
      <c r="A13" s="566" t="s">
        <v>570</v>
      </c>
      <c r="B13" s="566"/>
      <c r="C13" s="566"/>
      <c r="D13" s="442"/>
      <c r="E13" s="437"/>
      <c r="F13" s="438"/>
      <c r="G13" s="439"/>
      <c r="H13" s="439"/>
    </row>
    <row r="14" spans="1:8" ht="15.6">
      <c r="A14" s="559" t="s">
        <v>571</v>
      </c>
      <c r="B14" s="559"/>
      <c r="C14" s="559"/>
      <c r="D14" s="442" t="s">
        <v>572</v>
      </c>
      <c r="E14" s="437">
        <v>1</v>
      </c>
      <c r="F14" s="438">
        <v>11</v>
      </c>
      <c r="G14" s="439">
        <f t="shared" ref="G14:G15" si="1">+F14*E14</f>
        <v>11</v>
      </c>
      <c r="H14" s="439">
        <f>+G14/bermuda_yield</f>
        <v>1.1000000000000001</v>
      </c>
    </row>
    <row r="15" spans="1:8" ht="15.6">
      <c r="A15" s="566" t="s">
        <v>573</v>
      </c>
      <c r="B15" s="566"/>
      <c r="C15" s="566"/>
      <c r="D15" s="442" t="s">
        <v>572</v>
      </c>
      <c r="E15" s="437">
        <v>2</v>
      </c>
      <c r="F15" s="438">
        <v>14.75</v>
      </c>
      <c r="G15" s="439">
        <f t="shared" si="1"/>
        <v>29.5</v>
      </c>
      <c r="H15" s="439">
        <f>+G15/bermuda_yield</f>
        <v>2.95</v>
      </c>
    </row>
    <row r="16" spans="1:8" ht="15.6">
      <c r="A16" s="559" t="s">
        <v>574</v>
      </c>
      <c r="B16" s="559"/>
      <c r="C16" s="559"/>
      <c r="D16" s="442"/>
      <c r="E16" s="437"/>
      <c r="F16" s="438"/>
      <c r="G16" s="439"/>
      <c r="H16" s="439"/>
    </row>
    <row r="17" spans="1:8" ht="15.6">
      <c r="A17" s="559" t="s">
        <v>575</v>
      </c>
      <c r="B17" s="559"/>
      <c r="C17" s="559"/>
      <c r="D17" s="442" t="s">
        <v>576</v>
      </c>
      <c r="E17" s="437">
        <f>18.14+3.97</f>
        <v>22.11</v>
      </c>
      <c r="F17" s="438">
        <v>2.25</v>
      </c>
      <c r="G17" s="439">
        <f t="shared" ref="G17:G23" si="2">+F17*E17</f>
        <v>49.747500000000002</v>
      </c>
      <c r="H17" s="439">
        <f t="shared" ref="H17:H23" si="3">+G17/bermuda_yield</f>
        <v>4.9747500000000002</v>
      </c>
    </row>
    <row r="18" spans="1:8" ht="15.6">
      <c r="A18" s="559" t="s">
        <v>577</v>
      </c>
      <c r="B18" s="559"/>
      <c r="C18" s="559"/>
      <c r="D18" s="442" t="s">
        <v>578</v>
      </c>
      <c r="E18" s="437">
        <v>1</v>
      </c>
      <c r="F18" s="438">
        <f>18.51+4.98+5.82</f>
        <v>29.310000000000002</v>
      </c>
      <c r="G18" s="439">
        <f t="shared" si="2"/>
        <v>29.310000000000002</v>
      </c>
      <c r="H18" s="439">
        <f t="shared" si="3"/>
        <v>2.931</v>
      </c>
    </row>
    <row r="19" spans="1:8" ht="15.6">
      <c r="A19" s="559" t="s">
        <v>579</v>
      </c>
      <c r="B19" s="559"/>
      <c r="C19" s="559"/>
      <c r="D19" s="442" t="s">
        <v>580</v>
      </c>
      <c r="E19" s="437">
        <v>0.13</v>
      </c>
      <c r="F19" s="438">
        <v>25</v>
      </c>
      <c r="G19" s="439">
        <f t="shared" ref="G19" si="4">+F19*E19</f>
        <v>3.25</v>
      </c>
      <c r="H19" s="439">
        <f t="shared" si="3"/>
        <v>0.32500000000000001</v>
      </c>
    </row>
    <row r="20" spans="1:8" ht="15.6">
      <c r="A20" s="559" t="s">
        <v>586</v>
      </c>
      <c r="B20" s="559"/>
      <c r="C20" s="559"/>
      <c r="D20" s="442" t="s">
        <v>580</v>
      </c>
      <c r="E20" s="437">
        <f>+(bermuda_yield*2000)/1200/0.5</f>
        <v>33.333333333333336</v>
      </c>
      <c r="F20" s="438">
        <v>0</v>
      </c>
      <c r="G20" s="439">
        <f t="shared" si="2"/>
        <v>0</v>
      </c>
      <c r="H20" s="439">
        <f t="shared" si="3"/>
        <v>0</v>
      </c>
    </row>
    <row r="21" spans="1:8" ht="15.6">
      <c r="A21" s="559" t="s">
        <v>581</v>
      </c>
      <c r="B21" s="559"/>
      <c r="C21" s="559"/>
      <c r="D21" s="442" t="s">
        <v>582</v>
      </c>
      <c r="E21" s="437">
        <v>6</v>
      </c>
      <c r="F21" s="438">
        <v>13.5</v>
      </c>
      <c r="G21" s="439">
        <f t="shared" si="2"/>
        <v>81</v>
      </c>
      <c r="H21" s="439">
        <f t="shared" si="3"/>
        <v>8.1</v>
      </c>
    </row>
    <row r="22" spans="1:8" ht="15.6">
      <c r="A22" s="560" t="s">
        <v>692</v>
      </c>
      <c r="B22" s="560"/>
      <c r="C22" s="560"/>
      <c r="D22" s="442" t="s">
        <v>578</v>
      </c>
      <c r="E22" s="437">
        <v>1</v>
      </c>
      <c r="F22" s="438">
        <v>0</v>
      </c>
      <c r="G22" s="439">
        <f t="shared" si="2"/>
        <v>0</v>
      </c>
      <c r="H22" s="439">
        <f t="shared" si="3"/>
        <v>0</v>
      </c>
    </row>
    <row r="23" spans="1:8" ht="15.6">
      <c r="A23" s="561" t="s">
        <v>348</v>
      </c>
      <c r="B23" s="561"/>
      <c r="C23" s="561"/>
      <c r="D23" s="442" t="s">
        <v>583</v>
      </c>
      <c r="E23" s="437">
        <v>0</v>
      </c>
      <c r="F23" s="438">
        <v>0</v>
      </c>
      <c r="G23" s="439">
        <f t="shared" si="2"/>
        <v>0</v>
      </c>
      <c r="H23" s="439">
        <f t="shared" si="3"/>
        <v>0</v>
      </c>
    </row>
    <row r="24" spans="1:8" ht="16.2" thickBot="1">
      <c r="A24" s="440" t="s">
        <v>584</v>
      </c>
      <c r="B24" s="440"/>
      <c r="C24" s="440"/>
      <c r="D24" s="440"/>
      <c r="E24" s="440" t="s">
        <v>15</v>
      </c>
      <c r="F24" s="440"/>
      <c r="G24" s="441">
        <f>+SUM(G8:G23)</f>
        <v>453.8075</v>
      </c>
      <c r="H24" s="441">
        <f>+SUM(H8:H23)</f>
        <v>45.380749999999999</v>
      </c>
    </row>
    <row r="25" spans="1:8" ht="15.6" thickTop="1"/>
  </sheetData>
  <sheetProtection sheet="1" objects="1" scenarios="1"/>
  <mergeCells count="19">
    <mergeCell ref="A16:C16"/>
    <mergeCell ref="A17:C17"/>
    <mergeCell ref="A18:C18"/>
    <mergeCell ref="A6:C6"/>
    <mergeCell ref="A13:C13"/>
    <mergeCell ref="A15:C15"/>
    <mergeCell ref="A11:C11"/>
    <mergeCell ref="A12:C12"/>
    <mergeCell ref="A14:C14"/>
    <mergeCell ref="A1:H1"/>
    <mergeCell ref="F3:H3"/>
    <mergeCell ref="A8:C8"/>
    <mergeCell ref="A9:C9"/>
    <mergeCell ref="A10:C10"/>
    <mergeCell ref="A19:C19"/>
    <mergeCell ref="A20:C20"/>
    <mergeCell ref="A21:C21"/>
    <mergeCell ref="A22:C22"/>
    <mergeCell ref="A23:C23"/>
  </mergeCells>
  <phoneticPr fontId="19" type="noConversion"/>
  <hyperlinks>
    <hyperlink ref="F3" location="Main!A38" display="RETURN TO MAIN BUDGET" xr:uid="{00000000-0004-0000-0C00-000000000000}"/>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4"/>
  <sheetViews>
    <sheetView zoomScale="120" zoomScaleNormal="120" zoomScalePageLayoutView="70" workbookViewId="0">
      <selection activeCell="K28" sqref="K28"/>
    </sheetView>
  </sheetViews>
  <sheetFormatPr defaultColWidth="8.44140625" defaultRowHeight="15"/>
  <cols>
    <col min="1" max="1" width="27" style="430" customWidth="1"/>
    <col min="2" max="2" width="17.77734375" style="430" customWidth="1"/>
    <col min="3" max="3" width="12" style="430" customWidth="1"/>
    <col min="4" max="4" width="15.33203125" style="430" customWidth="1"/>
    <col min="5" max="5" width="8.33203125" style="430" customWidth="1"/>
    <col min="6" max="6" width="10.77734375" style="430" customWidth="1"/>
    <col min="7" max="7" width="11.77734375" style="430" customWidth="1"/>
    <col min="8" max="8" width="11.33203125" style="430" customWidth="1"/>
    <col min="9" max="9" width="8.44140625" style="430" customWidth="1"/>
    <col min="10" max="16384" width="8.44140625" style="430"/>
  </cols>
  <sheetData>
    <row r="1" spans="1:8" ht="22.8">
      <c r="A1" s="567" t="s">
        <v>659</v>
      </c>
      <c r="B1" s="567"/>
      <c r="C1" s="567"/>
      <c r="D1" s="567"/>
      <c r="E1" s="567"/>
      <c r="F1" s="567"/>
      <c r="G1" s="567"/>
      <c r="H1" s="567"/>
    </row>
    <row r="2" spans="1:8" ht="15.6">
      <c r="A2" s="428" t="s">
        <v>660</v>
      </c>
      <c r="B2" s="431">
        <v>25</v>
      </c>
      <c r="C2" s="428"/>
      <c r="D2" s="428"/>
      <c r="E2" s="428"/>
      <c r="F2" s="428"/>
      <c r="G2" s="443"/>
      <c r="H2" s="428"/>
    </row>
    <row r="3" spans="1:8" ht="15.6">
      <c r="A3" s="428" t="s">
        <v>612</v>
      </c>
      <c r="B3" s="431">
        <v>200</v>
      </c>
      <c r="C3" s="428"/>
      <c r="D3" s="428"/>
      <c r="E3" s="428"/>
      <c r="F3" s="563" t="s">
        <v>651</v>
      </c>
      <c r="G3" s="563"/>
      <c r="H3" s="563"/>
    </row>
    <row r="4" spans="1:8">
      <c r="A4" s="428" t="s">
        <v>608</v>
      </c>
      <c r="B4" s="433">
        <f>+B3*PASTURE_YIELD</f>
        <v>5000</v>
      </c>
      <c r="C4" s="428"/>
      <c r="D4" s="428"/>
      <c r="E4" s="428"/>
      <c r="F4" s="428"/>
      <c r="G4" s="443"/>
      <c r="H4" s="428"/>
    </row>
    <row r="5" spans="1:8" ht="15.6" thickBot="1">
      <c r="A5" s="428" t="s">
        <v>584</v>
      </c>
      <c r="B5" s="434">
        <f>+B3*permanent_pasture_cost</f>
        <v>44820</v>
      </c>
      <c r="C5" s="428"/>
      <c r="D5" s="428"/>
      <c r="E5" s="428"/>
      <c r="F5" s="428"/>
      <c r="G5" s="443"/>
      <c r="H5" s="428"/>
    </row>
    <row r="6" spans="1:8" ht="31.8" thickBot="1">
      <c r="A6" s="568" t="s">
        <v>24</v>
      </c>
      <c r="B6" s="569"/>
      <c r="C6" s="569"/>
      <c r="D6" s="444" t="s">
        <v>558</v>
      </c>
      <c r="E6" s="444" t="s">
        <v>559</v>
      </c>
      <c r="F6" s="444" t="s">
        <v>560</v>
      </c>
      <c r="G6" s="445" t="s">
        <v>561</v>
      </c>
      <c r="H6" s="445" t="s">
        <v>562</v>
      </c>
    </row>
    <row r="7" spans="1:8" ht="15.6">
      <c r="A7" s="570" t="s">
        <v>12</v>
      </c>
      <c r="B7" s="570"/>
      <c r="C7" s="570"/>
      <c r="D7" s="428"/>
      <c r="E7" s="428"/>
      <c r="F7" s="428"/>
      <c r="G7" s="428"/>
      <c r="H7" s="428"/>
    </row>
    <row r="8" spans="1:8" ht="15.6">
      <c r="A8" s="559" t="s">
        <v>563</v>
      </c>
      <c r="B8" s="559"/>
      <c r="C8" s="559"/>
      <c r="D8" s="442" t="s">
        <v>564</v>
      </c>
      <c r="E8" s="437">
        <v>0.5</v>
      </c>
      <c r="F8" s="438">
        <v>40</v>
      </c>
      <c r="G8" s="439">
        <f>+F8*E8</f>
        <v>20</v>
      </c>
      <c r="H8" s="439">
        <f>+G8/bermuda_yield</f>
        <v>2</v>
      </c>
    </row>
    <row r="9" spans="1:8" ht="15.6">
      <c r="A9" s="559" t="s">
        <v>565</v>
      </c>
      <c r="B9" s="559"/>
      <c r="C9" s="559"/>
      <c r="D9" s="442"/>
      <c r="E9" s="437"/>
      <c r="F9" s="438"/>
      <c r="G9" s="439"/>
      <c r="H9" s="439"/>
    </row>
    <row r="10" spans="1:8" ht="15.6">
      <c r="A10" s="559" t="s">
        <v>566</v>
      </c>
      <c r="B10" s="559"/>
      <c r="C10" s="559"/>
      <c r="D10" s="442" t="s">
        <v>567</v>
      </c>
      <c r="E10" s="437">
        <v>125</v>
      </c>
      <c r="F10" s="438">
        <v>0.6</v>
      </c>
      <c r="G10" s="439">
        <f t="shared" ref="G10:G13" si="0">+F10*E10</f>
        <v>75</v>
      </c>
      <c r="H10" s="439">
        <f>+G10/bermuda_yield</f>
        <v>7.5</v>
      </c>
    </row>
    <row r="11" spans="1:8" ht="15.6">
      <c r="A11" s="559" t="s">
        <v>568</v>
      </c>
      <c r="B11" s="559"/>
      <c r="C11" s="559"/>
      <c r="D11" s="442" t="s">
        <v>567</v>
      </c>
      <c r="E11" s="437">
        <v>0</v>
      </c>
      <c r="F11" s="438">
        <v>0.5</v>
      </c>
      <c r="G11" s="439">
        <f t="shared" si="0"/>
        <v>0</v>
      </c>
      <c r="H11" s="439">
        <f>+G11/bermuda_yield</f>
        <v>0</v>
      </c>
    </row>
    <row r="12" spans="1:8" ht="15.6">
      <c r="A12" s="559" t="s">
        <v>569</v>
      </c>
      <c r="B12" s="559"/>
      <c r="C12" s="559"/>
      <c r="D12" s="442" t="s">
        <v>567</v>
      </c>
      <c r="E12" s="437">
        <v>0</v>
      </c>
      <c r="F12" s="438">
        <v>0.42</v>
      </c>
      <c r="G12" s="439">
        <f t="shared" si="0"/>
        <v>0</v>
      </c>
      <c r="H12" s="439">
        <f>+G12/bermuda_yield</f>
        <v>0</v>
      </c>
    </row>
    <row r="13" spans="1:8" ht="15.6">
      <c r="A13" s="559" t="s">
        <v>348</v>
      </c>
      <c r="B13" s="559"/>
      <c r="C13" s="559"/>
      <c r="D13" s="442" t="s">
        <v>564</v>
      </c>
      <c r="E13" s="437">
        <v>0</v>
      </c>
      <c r="F13" s="438">
        <v>0</v>
      </c>
      <c r="G13" s="439">
        <f t="shared" si="0"/>
        <v>0</v>
      </c>
      <c r="H13" s="439">
        <f>+G13/bermuda_yield</f>
        <v>0</v>
      </c>
    </row>
    <row r="14" spans="1:8" ht="15.6">
      <c r="A14" s="566" t="s">
        <v>570</v>
      </c>
      <c r="B14" s="566"/>
      <c r="C14" s="566"/>
      <c r="D14" s="442"/>
      <c r="E14" s="437"/>
      <c r="F14" s="438"/>
      <c r="G14" s="439"/>
      <c r="H14" s="439"/>
    </row>
    <row r="15" spans="1:8" ht="15.6">
      <c r="A15" s="559" t="s">
        <v>571</v>
      </c>
      <c r="B15" s="559"/>
      <c r="C15" s="559"/>
      <c r="D15" s="442" t="s">
        <v>572</v>
      </c>
      <c r="E15" s="437">
        <v>1</v>
      </c>
      <c r="F15" s="438">
        <v>11</v>
      </c>
      <c r="G15" s="439">
        <f t="shared" ref="G15:G16" si="1">+F15*E15</f>
        <v>11</v>
      </c>
      <c r="H15" s="439">
        <f>+G15/bermuda_yield</f>
        <v>1.1000000000000001</v>
      </c>
    </row>
    <row r="16" spans="1:8" ht="15.6">
      <c r="A16" s="566" t="s">
        <v>573</v>
      </c>
      <c r="B16" s="566"/>
      <c r="C16" s="566"/>
      <c r="D16" s="442" t="s">
        <v>572</v>
      </c>
      <c r="E16" s="437">
        <v>2</v>
      </c>
      <c r="F16" s="438">
        <v>14.75</v>
      </c>
      <c r="G16" s="439">
        <f t="shared" si="1"/>
        <v>29.5</v>
      </c>
      <c r="H16" s="439">
        <f>+G16/bermuda_yield</f>
        <v>2.95</v>
      </c>
    </row>
    <row r="17" spans="1:8" ht="15.6">
      <c r="A17" s="559" t="s">
        <v>574</v>
      </c>
      <c r="B17" s="559"/>
      <c r="C17" s="559"/>
      <c r="D17" s="442"/>
      <c r="E17" s="437"/>
      <c r="F17" s="438"/>
      <c r="G17" s="439"/>
      <c r="H17" s="439"/>
    </row>
    <row r="18" spans="1:8" ht="15.6">
      <c r="A18" s="559" t="s">
        <v>575</v>
      </c>
      <c r="B18" s="559"/>
      <c r="C18" s="559"/>
      <c r="D18" s="442" t="s">
        <v>576</v>
      </c>
      <c r="E18" s="437">
        <v>2</v>
      </c>
      <c r="F18" s="438">
        <v>2.2999999999999998</v>
      </c>
      <c r="G18" s="439">
        <f t="shared" ref="G18:G22" si="2">+F18*E18</f>
        <v>4.5999999999999996</v>
      </c>
      <c r="H18" s="439">
        <f t="shared" ref="H18:H22" si="3">+G18/bermuda_yield</f>
        <v>0.45999999999999996</v>
      </c>
    </row>
    <row r="19" spans="1:8" ht="15.6">
      <c r="A19" s="559" t="s">
        <v>577</v>
      </c>
      <c r="B19" s="559"/>
      <c r="C19" s="559"/>
      <c r="D19" s="442" t="s">
        <v>578</v>
      </c>
      <c r="E19" s="437">
        <v>1</v>
      </c>
      <c r="F19" s="438">
        <v>15</v>
      </c>
      <c r="G19" s="439">
        <v>3</v>
      </c>
      <c r="H19" s="439">
        <f t="shared" si="3"/>
        <v>0.3</v>
      </c>
    </row>
    <row r="20" spans="1:8" ht="15.6">
      <c r="A20" s="559" t="s">
        <v>581</v>
      </c>
      <c r="B20" s="559"/>
      <c r="C20" s="559"/>
      <c r="D20" s="442" t="s">
        <v>582</v>
      </c>
      <c r="E20" s="437">
        <v>6</v>
      </c>
      <c r="F20" s="438">
        <v>13.5</v>
      </c>
      <c r="G20" s="439">
        <f t="shared" si="2"/>
        <v>81</v>
      </c>
      <c r="H20" s="439">
        <f t="shared" si="3"/>
        <v>8.1</v>
      </c>
    </row>
    <row r="21" spans="1:8" ht="15.6">
      <c r="A21" s="571" t="s">
        <v>693</v>
      </c>
      <c r="B21" s="571"/>
      <c r="C21" s="571"/>
      <c r="D21" s="442" t="s">
        <v>578</v>
      </c>
      <c r="E21" s="437">
        <v>1</v>
      </c>
      <c r="F21" s="438">
        <v>0</v>
      </c>
      <c r="G21" s="439">
        <f t="shared" si="2"/>
        <v>0</v>
      </c>
      <c r="H21" s="439">
        <f t="shared" si="3"/>
        <v>0</v>
      </c>
    </row>
    <row r="22" spans="1:8" ht="15.6">
      <c r="A22" s="561" t="s">
        <v>348</v>
      </c>
      <c r="B22" s="561"/>
      <c r="C22" s="561"/>
      <c r="D22" s="442" t="s">
        <v>583</v>
      </c>
      <c r="E22" s="437">
        <v>1</v>
      </c>
      <c r="F22" s="438">
        <v>0</v>
      </c>
      <c r="G22" s="439">
        <f t="shared" si="2"/>
        <v>0</v>
      </c>
      <c r="H22" s="439">
        <f t="shared" si="3"/>
        <v>0</v>
      </c>
    </row>
    <row r="23" spans="1:8" ht="16.2" thickBot="1">
      <c r="A23" s="440" t="s">
        <v>584</v>
      </c>
      <c r="B23" s="440"/>
      <c r="C23" s="440"/>
      <c r="D23" s="440"/>
      <c r="E23" s="440" t="s">
        <v>15</v>
      </c>
      <c r="F23" s="440"/>
      <c r="G23" s="441">
        <f>+SUM(G8:G22)</f>
        <v>224.1</v>
      </c>
      <c r="H23" s="441">
        <f>+SUM(H8:H22)</f>
        <v>22.410000000000004</v>
      </c>
    </row>
    <row r="24" spans="1:8" ht="15.6" thickTop="1">
      <c r="A24" s="428"/>
      <c r="B24" s="428"/>
      <c r="C24" s="428"/>
      <c r="D24" s="428"/>
      <c r="E24" s="428"/>
      <c r="F24" s="428"/>
      <c r="G24" s="428"/>
      <c r="H24" s="428"/>
    </row>
  </sheetData>
  <sheetProtection sheet="1" objects="1" scenarios="1"/>
  <mergeCells count="19">
    <mergeCell ref="A18:C18"/>
    <mergeCell ref="A19:C19"/>
    <mergeCell ref="A20:C20"/>
    <mergeCell ref="A21:C21"/>
    <mergeCell ref="A22:C22"/>
    <mergeCell ref="A17:C17"/>
    <mergeCell ref="A1:H1"/>
    <mergeCell ref="F3:H3"/>
    <mergeCell ref="A6:C6"/>
    <mergeCell ref="A14:C14"/>
    <mergeCell ref="A16:C16"/>
    <mergeCell ref="A7:C7"/>
    <mergeCell ref="A8:C8"/>
    <mergeCell ref="A9:C9"/>
    <mergeCell ref="A10:C10"/>
    <mergeCell ref="A11:C11"/>
    <mergeCell ref="A12:C12"/>
    <mergeCell ref="A13:C13"/>
    <mergeCell ref="A15:C15"/>
  </mergeCells>
  <phoneticPr fontId="19" type="noConversion"/>
  <hyperlinks>
    <hyperlink ref="F3" location="Main!A38" display="RETURN TO MAIN BUDGET" xr:uid="{00000000-0004-0000-0D00-000000000000}"/>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pageSetUpPr fitToPage="1"/>
  </sheetPr>
  <dimension ref="A1:Q85"/>
  <sheetViews>
    <sheetView topLeftCell="D1" workbookViewId="0">
      <selection activeCell="A4" sqref="A4:C4"/>
    </sheetView>
  </sheetViews>
  <sheetFormatPr defaultColWidth="8.44140625" defaultRowHeight="13.2"/>
  <cols>
    <col min="1" max="16384" width="8.44140625" style="1"/>
  </cols>
  <sheetData>
    <row r="1" spans="1:17">
      <c r="A1" s="1" t="s">
        <v>136</v>
      </c>
      <c r="B1" s="1" t="s">
        <v>137</v>
      </c>
      <c r="E1" s="1" t="s">
        <v>138</v>
      </c>
      <c r="F1" s="1" t="s">
        <v>139</v>
      </c>
      <c r="P1" s="1" t="s">
        <v>136</v>
      </c>
      <c r="Q1" s="1" t="s">
        <v>137</v>
      </c>
    </row>
    <row r="2" spans="1:17">
      <c r="A2" s="1" t="s">
        <v>140</v>
      </c>
      <c r="B2" s="1" t="s">
        <v>141</v>
      </c>
      <c r="E2" s="1" t="s">
        <v>142</v>
      </c>
      <c r="F2" s="1" t="s">
        <v>143</v>
      </c>
      <c r="P2" s="1" t="s">
        <v>140</v>
      </c>
      <c r="Q2" s="1" t="s">
        <v>141</v>
      </c>
    </row>
    <row r="3" spans="1:17">
      <c r="A3" s="1" t="s">
        <v>144</v>
      </c>
      <c r="B3" s="1" t="s">
        <v>145</v>
      </c>
      <c r="E3" s="1" t="s">
        <v>146</v>
      </c>
      <c r="F3" s="1" t="s">
        <v>90</v>
      </c>
      <c r="P3" s="1" t="s">
        <v>144</v>
      </c>
      <c r="Q3" s="1" t="s">
        <v>145</v>
      </c>
    </row>
    <row r="4" spans="1:17">
      <c r="A4" s="1" t="s">
        <v>37</v>
      </c>
      <c r="B4" s="1" t="s">
        <v>147</v>
      </c>
      <c r="P4" s="1" t="s">
        <v>37</v>
      </c>
      <c r="Q4" s="1" t="s">
        <v>147</v>
      </c>
    </row>
    <row r="5" spans="1:17">
      <c r="A5" s="1" t="s">
        <v>29</v>
      </c>
      <c r="B5" s="1" t="s">
        <v>148</v>
      </c>
      <c r="P5" s="1" t="s">
        <v>29</v>
      </c>
      <c r="Q5" s="1" t="s">
        <v>148</v>
      </c>
    </row>
    <row r="6" spans="1:17">
      <c r="A6" s="1" t="s">
        <v>149</v>
      </c>
      <c r="B6" s="1" t="s">
        <v>150</v>
      </c>
      <c r="P6" s="1" t="s">
        <v>149</v>
      </c>
      <c r="Q6" s="1" t="s">
        <v>150</v>
      </c>
    </row>
    <row r="7" spans="1:17">
      <c r="A7" s="1" t="s">
        <v>151</v>
      </c>
      <c r="B7" s="1" t="s">
        <v>152</v>
      </c>
      <c r="F7" s="1" t="s">
        <v>153</v>
      </c>
      <c r="G7" s="1" t="s">
        <v>154</v>
      </c>
      <c r="P7" s="1" t="s">
        <v>155</v>
      </c>
      <c r="Q7" s="1" t="s">
        <v>156</v>
      </c>
    </row>
    <row r="8" spans="1:17">
      <c r="A8" s="1" t="s">
        <v>157</v>
      </c>
      <c r="B8" s="1" t="s">
        <v>158</v>
      </c>
      <c r="F8" s="1" t="s">
        <v>159</v>
      </c>
      <c r="G8" s="1" t="s">
        <v>160</v>
      </c>
      <c r="P8" s="1" t="s">
        <v>151</v>
      </c>
      <c r="Q8" s="1" t="s">
        <v>152</v>
      </c>
    </row>
    <row r="9" spans="1:17">
      <c r="A9" s="1" t="s">
        <v>161</v>
      </c>
      <c r="B9" s="1" t="s">
        <v>162</v>
      </c>
      <c r="F9" s="1" t="s">
        <v>163</v>
      </c>
      <c r="H9" s="1" t="s">
        <v>164</v>
      </c>
      <c r="P9" s="1" t="s">
        <v>157</v>
      </c>
      <c r="Q9" s="1" t="s">
        <v>158</v>
      </c>
    </row>
    <row r="10" spans="1:17">
      <c r="A10" s="1" t="s">
        <v>44</v>
      </c>
      <c r="B10" s="1" t="s">
        <v>165</v>
      </c>
      <c r="F10" s="1" t="s">
        <v>166</v>
      </c>
      <c r="G10" s="1" t="s">
        <v>167</v>
      </c>
      <c r="P10" s="1" t="s">
        <v>161</v>
      </c>
      <c r="Q10" s="1" t="s">
        <v>162</v>
      </c>
    </row>
    <row r="11" spans="1:17">
      <c r="A11" s="1" t="s">
        <v>46</v>
      </c>
      <c r="B11" s="1" t="s">
        <v>168</v>
      </c>
      <c r="F11" s="1" t="s">
        <v>169</v>
      </c>
      <c r="P11" s="1" t="s">
        <v>44</v>
      </c>
      <c r="Q11" s="1" t="s">
        <v>165</v>
      </c>
    </row>
    <row r="12" spans="1:17">
      <c r="A12" s="1" t="s">
        <v>170</v>
      </c>
      <c r="B12" s="1" t="s">
        <v>171</v>
      </c>
      <c r="F12" s="1" t="s">
        <v>172</v>
      </c>
      <c r="G12" s="1" t="s">
        <v>173</v>
      </c>
      <c r="P12" s="1" t="s">
        <v>46</v>
      </c>
      <c r="Q12" s="1" t="s">
        <v>174</v>
      </c>
    </row>
    <row r="13" spans="1:17">
      <c r="A13" s="1" t="s">
        <v>175</v>
      </c>
      <c r="B13" s="1" t="s">
        <v>176</v>
      </c>
      <c r="P13" s="1" t="s">
        <v>170</v>
      </c>
      <c r="Q13" s="1" t="s">
        <v>171</v>
      </c>
    </row>
    <row r="14" spans="1:17">
      <c r="A14" s="1" t="s">
        <v>177</v>
      </c>
      <c r="B14" s="1" t="s">
        <v>178</v>
      </c>
      <c r="P14" s="1" t="s">
        <v>175</v>
      </c>
      <c r="Q14" s="1" t="s">
        <v>176</v>
      </c>
    </row>
    <row r="15" spans="1:17">
      <c r="A15" s="1" t="s">
        <v>179</v>
      </c>
      <c r="B15" s="1" t="s">
        <v>180</v>
      </c>
      <c r="P15" s="1" t="s">
        <v>177</v>
      </c>
      <c r="Q15" s="1" t="s">
        <v>178</v>
      </c>
    </row>
    <row r="16" spans="1:17">
      <c r="A16" s="1" t="s">
        <v>181</v>
      </c>
      <c r="B16" s="1" t="s">
        <v>182</v>
      </c>
      <c r="P16" s="1" t="s">
        <v>179</v>
      </c>
      <c r="Q16" s="1" t="s">
        <v>180</v>
      </c>
    </row>
    <row r="17" spans="1:17">
      <c r="A17" s="1" t="s">
        <v>42</v>
      </c>
      <c r="B17" s="1" t="s">
        <v>183</v>
      </c>
      <c r="P17" s="1" t="s">
        <v>181</v>
      </c>
      <c r="Q17" s="1" t="s">
        <v>182</v>
      </c>
    </row>
    <row r="18" spans="1:17">
      <c r="A18" s="1" t="s">
        <v>184</v>
      </c>
      <c r="B18" s="1" t="s">
        <v>185</v>
      </c>
      <c r="P18" s="1" t="s">
        <v>42</v>
      </c>
      <c r="Q18" s="1" t="s">
        <v>183</v>
      </c>
    </row>
    <row r="19" spans="1:17">
      <c r="A19" s="1" t="s">
        <v>186</v>
      </c>
      <c r="B19" s="1" t="s">
        <v>187</v>
      </c>
      <c r="P19" s="1" t="s">
        <v>188</v>
      </c>
      <c r="Q19" s="1" t="s">
        <v>189</v>
      </c>
    </row>
    <row r="20" spans="1:17">
      <c r="A20" s="1" t="s">
        <v>190</v>
      </c>
      <c r="B20" s="1" t="s">
        <v>191</v>
      </c>
      <c r="P20" s="1" t="s">
        <v>184</v>
      </c>
      <c r="Q20" s="1" t="s">
        <v>185</v>
      </c>
    </row>
    <row r="21" spans="1:17">
      <c r="A21" s="1" t="s">
        <v>192</v>
      </c>
      <c r="B21" s="1" t="s">
        <v>193</v>
      </c>
      <c r="P21" s="1" t="s">
        <v>186</v>
      </c>
      <c r="Q21" s="1" t="s">
        <v>187</v>
      </c>
    </row>
    <row r="22" spans="1:17">
      <c r="A22" s="1" t="s">
        <v>194</v>
      </c>
      <c r="B22" s="1" t="s">
        <v>195</v>
      </c>
      <c r="P22" s="1" t="s">
        <v>190</v>
      </c>
      <c r="Q22" s="1" t="s">
        <v>191</v>
      </c>
    </row>
    <row r="23" spans="1:17">
      <c r="A23" s="1" t="s">
        <v>196</v>
      </c>
      <c r="B23" s="1" t="s">
        <v>197</v>
      </c>
      <c r="P23" s="1" t="s">
        <v>192</v>
      </c>
      <c r="Q23" s="1" t="s">
        <v>193</v>
      </c>
    </row>
    <row r="24" spans="1:17">
      <c r="A24" s="1" t="s">
        <v>198</v>
      </c>
      <c r="B24" s="1" t="s">
        <v>199</v>
      </c>
      <c r="P24" s="1" t="s">
        <v>194</v>
      </c>
      <c r="Q24" s="1" t="s">
        <v>195</v>
      </c>
    </row>
    <row r="25" spans="1:17">
      <c r="A25" s="1" t="s">
        <v>200</v>
      </c>
      <c r="B25" s="1" t="s">
        <v>201</v>
      </c>
      <c r="P25" s="1" t="s">
        <v>196</v>
      </c>
      <c r="Q25" s="1" t="s">
        <v>197</v>
      </c>
    </row>
    <row r="26" spans="1:17">
      <c r="A26" s="1" t="s">
        <v>202</v>
      </c>
      <c r="B26" s="1" t="s">
        <v>203</v>
      </c>
      <c r="P26" s="1" t="s">
        <v>198</v>
      </c>
      <c r="Q26" s="1" t="s">
        <v>199</v>
      </c>
    </row>
    <row r="27" spans="1:17">
      <c r="A27" s="1" t="s">
        <v>204</v>
      </c>
      <c r="B27" s="1" t="s">
        <v>205</v>
      </c>
      <c r="P27" s="1" t="s">
        <v>206</v>
      </c>
      <c r="Q27" s="1" t="s">
        <v>207</v>
      </c>
    </row>
    <row r="28" spans="1:17">
      <c r="A28" s="1" t="s">
        <v>208</v>
      </c>
      <c r="B28" s="1" t="s">
        <v>209</v>
      </c>
      <c r="P28" s="1" t="s">
        <v>210</v>
      </c>
      <c r="Q28" s="1" t="s">
        <v>211</v>
      </c>
    </row>
    <row r="29" spans="1:17">
      <c r="A29" s="1" t="s">
        <v>212</v>
      </c>
      <c r="B29" s="1" t="s">
        <v>213</v>
      </c>
      <c r="P29" s="1" t="s">
        <v>200</v>
      </c>
      <c r="Q29" s="1" t="s">
        <v>201</v>
      </c>
    </row>
    <row r="30" spans="1:17">
      <c r="A30" s="1" t="s">
        <v>214</v>
      </c>
      <c r="B30" s="1" t="s">
        <v>215</v>
      </c>
      <c r="P30" s="1" t="s">
        <v>216</v>
      </c>
      <c r="Q30" s="1" t="s">
        <v>217</v>
      </c>
    </row>
    <row r="31" spans="1:17">
      <c r="A31" s="1" t="s">
        <v>218</v>
      </c>
      <c r="B31" s="1" t="s">
        <v>219</v>
      </c>
      <c r="P31" s="1" t="s">
        <v>202</v>
      </c>
      <c r="Q31" s="1" t="s">
        <v>203</v>
      </c>
    </row>
    <row r="32" spans="1:17">
      <c r="A32" s="1" t="s">
        <v>32</v>
      </c>
      <c r="B32" s="1" t="s">
        <v>220</v>
      </c>
      <c r="P32" s="1" t="s">
        <v>204</v>
      </c>
      <c r="Q32" s="1" t="s">
        <v>221</v>
      </c>
    </row>
    <row r="33" spans="1:17">
      <c r="A33" s="1" t="s">
        <v>34</v>
      </c>
      <c r="B33" s="1" t="s">
        <v>222</v>
      </c>
      <c r="P33" s="1" t="s">
        <v>223</v>
      </c>
      <c r="Q33" s="1" t="s">
        <v>224</v>
      </c>
    </row>
    <row r="34" spans="1:17">
      <c r="A34" s="1" t="s">
        <v>35</v>
      </c>
      <c r="B34" s="1" t="s">
        <v>225</v>
      </c>
      <c r="P34" s="1" t="s">
        <v>208</v>
      </c>
      <c r="Q34" s="1" t="s">
        <v>209</v>
      </c>
    </row>
    <row r="35" spans="1:17">
      <c r="A35" s="1" t="s">
        <v>33</v>
      </c>
      <c r="B35" s="1" t="s">
        <v>226</v>
      </c>
      <c r="P35" s="1" t="s">
        <v>212</v>
      </c>
      <c r="Q35" s="1" t="s">
        <v>213</v>
      </c>
    </row>
    <row r="36" spans="1:17">
      <c r="A36" s="1" t="s">
        <v>227</v>
      </c>
      <c r="B36" s="1" t="s">
        <v>228</v>
      </c>
      <c r="P36" s="1" t="s">
        <v>214</v>
      </c>
      <c r="Q36" s="1" t="s">
        <v>215</v>
      </c>
    </row>
    <row r="37" spans="1:17">
      <c r="A37" s="1" t="s">
        <v>229</v>
      </c>
      <c r="B37" s="1" t="s">
        <v>230</v>
      </c>
      <c r="P37" s="1" t="s">
        <v>218</v>
      </c>
      <c r="Q37" s="1" t="s">
        <v>219</v>
      </c>
    </row>
    <row r="38" spans="1:17">
      <c r="A38" s="1" t="s">
        <v>231</v>
      </c>
      <c r="B38" s="1" t="s">
        <v>232</v>
      </c>
      <c r="P38" s="1" t="s">
        <v>32</v>
      </c>
      <c r="Q38" s="1" t="s">
        <v>220</v>
      </c>
    </row>
    <row r="39" spans="1:17">
      <c r="A39" s="1" t="s">
        <v>233</v>
      </c>
      <c r="B39" s="1" t="s">
        <v>234</v>
      </c>
      <c r="P39" s="1" t="s">
        <v>34</v>
      </c>
      <c r="Q39" s="1" t="s">
        <v>222</v>
      </c>
    </row>
    <row r="40" spans="1:17">
      <c r="A40" s="1" t="s">
        <v>235</v>
      </c>
      <c r="B40" s="1" t="s">
        <v>236</v>
      </c>
      <c r="P40" s="1" t="s">
        <v>35</v>
      </c>
      <c r="Q40" s="1" t="s">
        <v>225</v>
      </c>
    </row>
    <row r="41" spans="1:17">
      <c r="A41" s="1" t="s">
        <v>237</v>
      </c>
      <c r="B41" s="1" t="s">
        <v>238</v>
      </c>
      <c r="P41" s="1" t="s">
        <v>33</v>
      </c>
      <c r="Q41" s="1" t="s">
        <v>226</v>
      </c>
    </row>
    <row r="42" spans="1:17">
      <c r="A42" s="1" t="s">
        <v>239</v>
      </c>
      <c r="B42" s="1" t="s">
        <v>240</v>
      </c>
      <c r="P42" s="1" t="s">
        <v>227</v>
      </c>
      <c r="Q42" s="1" t="s">
        <v>228</v>
      </c>
    </row>
    <row r="43" spans="1:17">
      <c r="A43" s="1" t="s">
        <v>135</v>
      </c>
      <c r="B43" s="1" t="s">
        <v>241</v>
      </c>
      <c r="P43" s="1" t="s">
        <v>229</v>
      </c>
      <c r="Q43" s="1" t="s">
        <v>230</v>
      </c>
    </row>
    <row r="44" spans="1:17">
      <c r="A44" s="1" t="s">
        <v>242</v>
      </c>
      <c r="B44" s="1" t="s">
        <v>243</v>
      </c>
      <c r="P44" s="1" t="s">
        <v>231</v>
      </c>
      <c r="Q44" s="1" t="s">
        <v>232</v>
      </c>
    </row>
    <row r="45" spans="1:17">
      <c r="A45" s="1" t="s">
        <v>244</v>
      </c>
      <c r="B45" s="1" t="s">
        <v>245</v>
      </c>
      <c r="P45" s="1" t="s">
        <v>233</v>
      </c>
      <c r="Q45" s="1" t="s">
        <v>234</v>
      </c>
    </row>
    <row r="46" spans="1:17">
      <c r="A46" s="1" t="s">
        <v>246</v>
      </c>
      <c r="B46" s="1" t="s">
        <v>247</v>
      </c>
      <c r="P46" s="1" t="s">
        <v>235</v>
      </c>
      <c r="Q46" s="1" t="s">
        <v>236</v>
      </c>
    </row>
    <row r="47" spans="1:17">
      <c r="A47" s="1" t="s">
        <v>39</v>
      </c>
      <c r="B47" s="1" t="s">
        <v>248</v>
      </c>
      <c r="P47" s="1" t="s">
        <v>237</v>
      </c>
      <c r="Q47" s="1" t="s">
        <v>238</v>
      </c>
    </row>
    <row r="48" spans="1:17">
      <c r="A48" s="1" t="s">
        <v>249</v>
      </c>
      <c r="B48" s="1" t="s">
        <v>250</v>
      </c>
      <c r="P48" s="1" t="s">
        <v>239</v>
      </c>
      <c r="Q48" s="1" t="s">
        <v>240</v>
      </c>
    </row>
    <row r="49" spans="1:17">
      <c r="A49" s="1" t="s">
        <v>251</v>
      </c>
      <c r="B49" s="1" t="s">
        <v>252</v>
      </c>
      <c r="P49" s="1" t="s">
        <v>135</v>
      </c>
      <c r="Q49" s="1" t="s">
        <v>241</v>
      </c>
    </row>
    <row r="50" spans="1:17">
      <c r="A50" s="1" t="s">
        <v>253</v>
      </c>
      <c r="B50" s="1" t="s">
        <v>254</v>
      </c>
      <c r="P50" s="1" t="s">
        <v>255</v>
      </c>
      <c r="Q50" s="1" t="s">
        <v>256</v>
      </c>
    </row>
    <row r="51" spans="1:17">
      <c r="A51" s="1" t="s">
        <v>257</v>
      </c>
      <c r="B51" s="1" t="s">
        <v>258</v>
      </c>
      <c r="P51" s="1" t="s">
        <v>242</v>
      </c>
      <c r="Q51" s="1" t="s">
        <v>243</v>
      </c>
    </row>
    <row r="52" spans="1:17">
      <c r="A52" s="1" t="s">
        <v>259</v>
      </c>
      <c r="B52" s="1" t="s">
        <v>260</v>
      </c>
      <c r="P52" s="1" t="s">
        <v>244</v>
      </c>
      <c r="Q52" s="1" t="s">
        <v>245</v>
      </c>
    </row>
    <row r="53" spans="1:17">
      <c r="A53" s="1" t="s">
        <v>261</v>
      </c>
      <c r="B53" s="1" t="s">
        <v>262</v>
      </c>
      <c r="P53" s="1" t="s">
        <v>246</v>
      </c>
      <c r="Q53" s="1" t="s">
        <v>247</v>
      </c>
    </row>
    <row r="54" spans="1:17">
      <c r="A54" s="1" t="s">
        <v>263</v>
      </c>
      <c r="B54" s="1" t="s">
        <v>264</v>
      </c>
      <c r="P54" s="1" t="s">
        <v>39</v>
      </c>
      <c r="Q54" s="1" t="s">
        <v>248</v>
      </c>
    </row>
    <row r="55" spans="1:17">
      <c r="A55" s="1" t="s">
        <v>265</v>
      </c>
      <c r="B55" s="1" t="s">
        <v>266</v>
      </c>
      <c r="P55" s="1" t="s">
        <v>267</v>
      </c>
      <c r="Q55" s="1" t="s">
        <v>268</v>
      </c>
    </row>
    <row r="56" spans="1:17">
      <c r="A56" s="1" t="s">
        <v>269</v>
      </c>
      <c r="B56" s="1" t="s">
        <v>270</v>
      </c>
      <c r="P56" s="1" t="s">
        <v>249</v>
      </c>
      <c r="Q56" s="1" t="s">
        <v>250</v>
      </c>
    </row>
    <row r="57" spans="1:17">
      <c r="A57" s="1" t="s">
        <v>50</v>
      </c>
      <c r="B57" s="1" t="s">
        <v>271</v>
      </c>
      <c r="P57" s="1" t="s">
        <v>251</v>
      </c>
      <c r="Q57" s="1" t="s">
        <v>252</v>
      </c>
    </row>
    <row r="58" spans="1:17">
      <c r="A58" s="1" t="s">
        <v>272</v>
      </c>
      <c r="B58" s="1" t="s">
        <v>273</v>
      </c>
      <c r="P58" s="1" t="s">
        <v>253</v>
      </c>
      <c r="Q58" s="1" t="s">
        <v>274</v>
      </c>
    </row>
    <row r="59" spans="1:17">
      <c r="A59" s="1" t="s">
        <v>275</v>
      </c>
      <c r="B59" s="1" t="s">
        <v>276</v>
      </c>
      <c r="P59" s="1" t="s">
        <v>257</v>
      </c>
      <c r="Q59" s="1" t="s">
        <v>258</v>
      </c>
    </row>
    <row r="60" spans="1:17">
      <c r="A60" s="1" t="s">
        <v>277</v>
      </c>
      <c r="B60" s="1" t="s">
        <v>278</v>
      </c>
      <c r="P60" s="1" t="s">
        <v>259</v>
      </c>
      <c r="Q60" s="1" t="s">
        <v>279</v>
      </c>
    </row>
    <row r="61" spans="1:17">
      <c r="A61" s="1" t="s">
        <v>280</v>
      </c>
      <c r="B61" s="1" t="s">
        <v>281</v>
      </c>
      <c r="P61" s="1" t="s">
        <v>261</v>
      </c>
      <c r="Q61" s="1" t="s">
        <v>262</v>
      </c>
    </row>
    <row r="62" spans="1:17">
      <c r="A62" s="1" t="s">
        <v>282</v>
      </c>
      <c r="B62" s="1" t="s">
        <v>283</v>
      </c>
      <c r="P62" s="1" t="s">
        <v>263</v>
      </c>
      <c r="Q62" s="1" t="s">
        <v>284</v>
      </c>
    </row>
    <row r="63" spans="1:17">
      <c r="A63" s="1" t="s">
        <v>285</v>
      </c>
      <c r="B63" s="1" t="s">
        <v>286</v>
      </c>
      <c r="P63" s="1" t="s">
        <v>265</v>
      </c>
      <c r="Q63" s="1" t="s">
        <v>266</v>
      </c>
    </row>
    <row r="64" spans="1:17">
      <c r="A64" s="1" t="s">
        <v>287</v>
      </c>
      <c r="B64" s="1" t="s">
        <v>288</v>
      </c>
      <c r="P64" s="1" t="s">
        <v>269</v>
      </c>
      <c r="Q64" s="1" t="s">
        <v>270</v>
      </c>
    </row>
    <row r="65" spans="1:17">
      <c r="A65" s="1" t="s">
        <v>289</v>
      </c>
      <c r="B65" s="1" t="s">
        <v>290</v>
      </c>
      <c r="P65" s="1" t="s">
        <v>50</v>
      </c>
      <c r="Q65" s="1" t="s">
        <v>271</v>
      </c>
    </row>
    <row r="66" spans="1:17">
      <c r="A66" s="1" t="s">
        <v>291</v>
      </c>
      <c r="B66" s="1" t="s">
        <v>292</v>
      </c>
      <c r="P66" s="1" t="s">
        <v>272</v>
      </c>
      <c r="Q66" s="1" t="s">
        <v>273</v>
      </c>
    </row>
    <row r="67" spans="1:17">
      <c r="A67" s="1" t="s">
        <v>293</v>
      </c>
      <c r="B67" s="1" t="s">
        <v>294</v>
      </c>
      <c r="P67" s="1" t="s">
        <v>275</v>
      </c>
      <c r="Q67" s="1" t="s">
        <v>276</v>
      </c>
    </row>
    <row r="68" spans="1:17">
      <c r="A68" s="1" t="s">
        <v>295</v>
      </c>
      <c r="B68" s="1" t="s">
        <v>296</v>
      </c>
      <c r="P68" s="1" t="s">
        <v>277</v>
      </c>
      <c r="Q68" s="1" t="s">
        <v>278</v>
      </c>
    </row>
    <row r="69" spans="1:17">
      <c r="A69" s="1" t="s">
        <v>297</v>
      </c>
      <c r="B69" s="1" t="s">
        <v>298</v>
      </c>
      <c r="P69" s="1" t="s">
        <v>280</v>
      </c>
      <c r="Q69" s="1" t="s">
        <v>281</v>
      </c>
    </row>
    <row r="70" spans="1:17">
      <c r="A70" s="1" t="s">
        <v>299</v>
      </c>
      <c r="B70" s="1" t="s">
        <v>300</v>
      </c>
      <c r="P70" s="1" t="s">
        <v>282</v>
      </c>
      <c r="Q70" s="1" t="s">
        <v>283</v>
      </c>
    </row>
    <row r="71" spans="1:17">
      <c r="A71" s="1" t="s">
        <v>301</v>
      </c>
      <c r="B71" s="1" t="s">
        <v>302</v>
      </c>
      <c r="P71" s="1" t="s">
        <v>285</v>
      </c>
      <c r="Q71" s="1" t="s">
        <v>286</v>
      </c>
    </row>
    <row r="72" spans="1:17">
      <c r="A72" s="1" t="s">
        <v>48</v>
      </c>
      <c r="B72" s="1" t="s">
        <v>303</v>
      </c>
      <c r="P72" s="1" t="s">
        <v>287</v>
      </c>
      <c r="Q72" s="1" t="s">
        <v>288</v>
      </c>
    </row>
    <row r="73" spans="1:17">
      <c r="P73" s="1" t="s">
        <v>289</v>
      </c>
      <c r="Q73" s="1" t="s">
        <v>290</v>
      </c>
    </row>
    <row r="74" spans="1:17">
      <c r="P74" s="1" t="s">
        <v>291</v>
      </c>
      <c r="Q74" s="1" t="s">
        <v>292</v>
      </c>
    </row>
    <row r="75" spans="1:17">
      <c r="P75" s="1" t="s">
        <v>293</v>
      </c>
      <c r="Q75" s="1" t="s">
        <v>294</v>
      </c>
    </row>
    <row r="76" spans="1:17">
      <c r="P76" s="1" t="s">
        <v>295</v>
      </c>
      <c r="Q76" s="1" t="s">
        <v>296</v>
      </c>
    </row>
    <row r="77" spans="1:17">
      <c r="P77" s="1" t="s">
        <v>297</v>
      </c>
      <c r="Q77" s="1" t="s">
        <v>298</v>
      </c>
    </row>
    <row r="78" spans="1:17">
      <c r="P78" s="1" t="s">
        <v>299</v>
      </c>
      <c r="Q78" s="1" t="s">
        <v>300</v>
      </c>
    </row>
    <row r="79" spans="1:17">
      <c r="P79" s="1" t="s">
        <v>301</v>
      </c>
      <c r="Q79" s="1" t="s">
        <v>302</v>
      </c>
    </row>
    <row r="80" spans="1:17">
      <c r="P80" s="1" t="s">
        <v>304</v>
      </c>
      <c r="Q80" s="1" t="s">
        <v>305</v>
      </c>
    </row>
    <row r="81" spans="16:17">
      <c r="P81" s="1" t="s">
        <v>306</v>
      </c>
      <c r="Q81" s="1" t="s">
        <v>307</v>
      </c>
    </row>
    <row r="82" spans="16:17">
      <c r="P82" s="1" t="s">
        <v>308</v>
      </c>
      <c r="Q82" s="1" t="s">
        <v>309</v>
      </c>
    </row>
    <row r="83" spans="16:17">
      <c r="P83" s="1" t="s">
        <v>310</v>
      </c>
      <c r="Q83" s="1" t="s">
        <v>311</v>
      </c>
    </row>
    <row r="84" spans="16:17">
      <c r="P84" s="1" t="s">
        <v>312</v>
      </c>
      <c r="Q84" s="1" t="s">
        <v>313</v>
      </c>
    </row>
    <row r="85" spans="16:17">
      <c r="P85" s="1" t="s">
        <v>48</v>
      </c>
      <c r="Q85" s="1" t="s">
        <v>314</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zoomScale="160" zoomScaleNormal="160" zoomScalePageLayoutView="160" workbookViewId="0">
      <selection activeCell="F10" sqref="F10"/>
    </sheetView>
  </sheetViews>
  <sheetFormatPr defaultColWidth="11.44140625" defaultRowHeight="13.2"/>
  <cols>
    <col min="1" max="1" width="29.6640625" customWidth="1"/>
    <col min="2" max="2" width="16.77734375" customWidth="1"/>
    <col min="3" max="3" width="11.44140625" customWidth="1"/>
    <col min="4" max="4" width="16.6640625" customWidth="1"/>
    <col min="6" max="6" width="37.44140625" customWidth="1"/>
  </cols>
  <sheetData>
    <row r="1" spans="1:7" ht="27.45" customHeight="1" thickBot="1">
      <c r="A1" s="485" t="s">
        <v>716</v>
      </c>
      <c r="B1" s="485"/>
      <c r="C1" s="485"/>
      <c r="D1" s="485"/>
    </row>
    <row r="2" spans="1:7" ht="27.6" thickTop="1" thickBot="1">
      <c r="A2" s="467" t="s">
        <v>710</v>
      </c>
      <c r="B2" s="468" t="s">
        <v>711</v>
      </c>
      <c r="C2" s="468" t="s">
        <v>713</v>
      </c>
      <c r="D2" s="469" t="s">
        <v>714</v>
      </c>
      <c r="F2" s="472" t="s">
        <v>735</v>
      </c>
    </row>
    <row r="3" spans="1:7" ht="13.8" thickTop="1">
      <c r="A3" s="98" t="s">
        <v>722</v>
      </c>
      <c r="B3" s="481">
        <v>12000</v>
      </c>
      <c r="C3" s="482">
        <v>19.5</v>
      </c>
      <c r="D3" s="114">
        <f>+C3*B3</f>
        <v>234000</v>
      </c>
      <c r="G3" s="123"/>
    </row>
    <row r="4" spans="1:7">
      <c r="A4" s="98" t="s">
        <v>723</v>
      </c>
      <c r="B4" s="481">
        <v>14000</v>
      </c>
      <c r="C4" s="482">
        <v>18.5</v>
      </c>
      <c r="D4" s="114">
        <f t="shared" ref="D4:D13" si="0">+C4*B4</f>
        <v>259000</v>
      </c>
      <c r="G4" s="123"/>
    </row>
    <row r="5" spans="1:7">
      <c r="A5" s="98" t="s">
        <v>724</v>
      </c>
      <c r="B5" s="481">
        <v>13192</v>
      </c>
      <c r="C5" s="482">
        <v>18</v>
      </c>
      <c r="D5" s="114">
        <f t="shared" si="0"/>
        <v>237456</v>
      </c>
    </row>
    <row r="6" spans="1:7">
      <c r="A6" s="98" t="s">
        <v>725</v>
      </c>
      <c r="B6" s="481">
        <v>13500</v>
      </c>
      <c r="C6" s="482">
        <v>17.75</v>
      </c>
      <c r="D6" s="114">
        <f t="shared" si="0"/>
        <v>239625</v>
      </c>
    </row>
    <row r="7" spans="1:7">
      <c r="A7" s="98" t="s">
        <v>712</v>
      </c>
      <c r="B7" s="481">
        <v>9500</v>
      </c>
      <c r="C7" s="482">
        <v>18.5</v>
      </c>
      <c r="D7" s="114">
        <f t="shared" si="0"/>
        <v>175750</v>
      </c>
    </row>
    <row r="8" spans="1:7">
      <c r="A8" s="98" t="s">
        <v>726</v>
      </c>
      <c r="B8" s="481">
        <v>9000</v>
      </c>
      <c r="C8" s="482">
        <v>18.5</v>
      </c>
      <c r="D8" s="114">
        <f t="shared" si="0"/>
        <v>166500</v>
      </c>
    </row>
    <row r="9" spans="1:7">
      <c r="A9" s="98" t="s">
        <v>727</v>
      </c>
      <c r="B9" s="481">
        <v>8500</v>
      </c>
      <c r="C9" s="482">
        <v>19.75</v>
      </c>
      <c r="D9" s="114">
        <f t="shared" si="0"/>
        <v>167875</v>
      </c>
    </row>
    <row r="10" spans="1:7">
      <c r="A10" s="98" t="s">
        <v>728</v>
      </c>
      <c r="B10" s="481">
        <v>8000</v>
      </c>
      <c r="C10" s="482">
        <v>20.329999999999998</v>
      </c>
      <c r="D10" s="114">
        <f t="shared" si="0"/>
        <v>162640</v>
      </c>
    </row>
    <row r="11" spans="1:7">
      <c r="A11" s="98" t="s">
        <v>729</v>
      </c>
      <c r="B11" s="481">
        <v>7500</v>
      </c>
      <c r="C11" s="482">
        <v>20.5</v>
      </c>
      <c r="D11" s="114">
        <f t="shared" si="0"/>
        <v>153750</v>
      </c>
    </row>
    <row r="12" spans="1:7">
      <c r="A12" s="98" t="s">
        <v>730</v>
      </c>
      <c r="B12" s="481">
        <v>7000</v>
      </c>
      <c r="C12" s="482">
        <v>20.5</v>
      </c>
      <c r="D12" s="114">
        <f t="shared" si="0"/>
        <v>143500</v>
      </c>
    </row>
    <row r="13" spans="1:7">
      <c r="A13" s="98" t="s">
        <v>731</v>
      </c>
      <c r="B13" s="481">
        <v>6500</v>
      </c>
      <c r="C13" s="482">
        <v>20.75</v>
      </c>
      <c r="D13" s="114">
        <f t="shared" si="0"/>
        <v>134875</v>
      </c>
    </row>
    <row r="14" spans="1:7" ht="13.8" thickBot="1">
      <c r="A14" s="98" t="s">
        <v>732</v>
      </c>
      <c r="B14" s="483">
        <v>5500</v>
      </c>
      <c r="C14" s="484">
        <v>20.5</v>
      </c>
      <c r="D14" s="470">
        <f>+C14*B14</f>
        <v>112750</v>
      </c>
    </row>
    <row r="15" spans="1:7" ht="13.8" thickTop="1">
      <c r="A15" s="98" t="s">
        <v>717</v>
      </c>
      <c r="B15" s="123">
        <f>+SUM(B3:B14)</f>
        <v>114192</v>
      </c>
      <c r="C15" s="114"/>
      <c r="D15" s="114">
        <f>+SUM(D3:D14)</f>
        <v>2187721</v>
      </c>
    </row>
    <row r="16" spans="1:7" ht="26.4">
      <c r="A16" s="466" t="s">
        <v>718</v>
      </c>
      <c r="B16" s="123">
        <f>+TOTAL_MILK_PROD</f>
        <v>114192</v>
      </c>
    </row>
    <row r="17" spans="1:3">
      <c r="A17" s="98" t="s">
        <v>719</v>
      </c>
      <c r="B17" s="124">
        <f>+B15-B16</f>
        <v>0</v>
      </c>
      <c r="C17" s="98" t="s">
        <v>720</v>
      </c>
    </row>
    <row r="18" spans="1:3" ht="39.6">
      <c r="A18" s="466" t="s">
        <v>721</v>
      </c>
      <c r="B18" s="114">
        <f>+total_monthly_rev/total_monthly_milk_prod</f>
        <v>19.158268530194761</v>
      </c>
      <c r="C18" s="98" t="s">
        <v>733</v>
      </c>
    </row>
    <row r="23" spans="1:3">
      <c r="C23" s="3">
        <f>+AVERAGE(C3:C14)</f>
        <v>19.423333333333332</v>
      </c>
    </row>
  </sheetData>
  <sheetProtection sheet="1" objects="1" scenarios="1"/>
  <mergeCells count="1">
    <mergeCell ref="A1:D1"/>
  </mergeCells>
  <hyperlinks>
    <hyperlink ref="F2" location="Main!I18" display="Click here to return to the Main Page" xr:uid="{00000000-0004-0000-0100-000000000000}"/>
  </hyperlinks>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pageSetUpPr fitToPage="1"/>
  </sheetPr>
  <dimension ref="A1:C1"/>
  <sheetViews>
    <sheetView workbookViewId="0">
      <selection activeCell="A4" sqref="A4:C4"/>
    </sheetView>
  </sheetViews>
  <sheetFormatPr defaultColWidth="8.44140625" defaultRowHeight="13.2"/>
  <cols>
    <col min="1" max="16384" width="8.44140625" style="1"/>
  </cols>
  <sheetData>
    <row r="1" spans="1:3">
      <c r="A1" s="1" t="s">
        <v>315</v>
      </c>
      <c r="C1"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pageSetUpPr fitToPage="1"/>
  </sheetPr>
  <dimension ref="A2:I13"/>
  <sheetViews>
    <sheetView zoomScale="150" zoomScaleNormal="150" zoomScalePageLayoutView="80" workbookViewId="0">
      <selection activeCell="N12" sqref="N12"/>
    </sheetView>
  </sheetViews>
  <sheetFormatPr defaultColWidth="8.77734375" defaultRowHeight="13.2"/>
  <cols>
    <col min="3" max="3" width="9.109375" customWidth="1"/>
    <col min="4" max="4" width="27.77734375" customWidth="1"/>
    <col min="6" max="6" width="12.77734375" customWidth="1"/>
    <col min="7" max="7" width="15.44140625" customWidth="1"/>
    <col min="8" max="8" width="12.6640625" style="35" customWidth="1"/>
    <col min="9" max="9" width="16.109375" customWidth="1"/>
    <col min="10" max="10" width="9.77734375" bestFit="1" customWidth="1"/>
  </cols>
  <sheetData>
    <row r="2" spans="1:9" ht="23.4" thickBot="1">
      <c r="D2" s="573" t="s">
        <v>419</v>
      </c>
      <c r="E2" s="573"/>
      <c r="F2" s="573"/>
      <c r="G2" s="573"/>
      <c r="H2" s="573"/>
      <c r="I2" s="573"/>
    </row>
    <row r="3" spans="1:9" ht="47.4" thickBot="1">
      <c r="D3" s="278" t="s">
        <v>374</v>
      </c>
      <c r="E3" s="279" t="s">
        <v>375</v>
      </c>
      <c r="F3" s="279" t="s">
        <v>386</v>
      </c>
      <c r="G3" s="279" t="s">
        <v>378</v>
      </c>
      <c r="H3" s="280" t="s">
        <v>376</v>
      </c>
      <c r="I3" s="281" t="s">
        <v>377</v>
      </c>
    </row>
    <row r="4" spans="1:9" ht="15.6">
      <c r="A4" s="572" t="s">
        <v>364</v>
      </c>
      <c r="B4" s="572"/>
      <c r="C4" s="572"/>
      <c r="D4" s="234" t="s">
        <v>379</v>
      </c>
      <c r="E4" s="424">
        <v>1</v>
      </c>
      <c r="F4" s="424" t="s">
        <v>385</v>
      </c>
      <c r="G4" s="425">
        <v>100000</v>
      </c>
      <c r="H4" s="425"/>
      <c r="I4" s="282">
        <f>+G4*E4</f>
        <v>100000</v>
      </c>
    </row>
    <row r="5" spans="1:9" ht="15.6">
      <c r="D5" s="234" t="s">
        <v>380</v>
      </c>
      <c r="E5" s="424">
        <v>1</v>
      </c>
      <c r="F5" s="424" t="s">
        <v>385</v>
      </c>
      <c r="G5" s="425">
        <v>50000</v>
      </c>
      <c r="H5" s="425">
        <f>+G5*0.33</f>
        <v>16500</v>
      </c>
      <c r="I5" s="282">
        <f>+(H5+G5)*E5</f>
        <v>66500</v>
      </c>
    </row>
    <row r="6" spans="1:9" ht="15.6">
      <c r="D6" s="234" t="s">
        <v>381</v>
      </c>
      <c r="E6" s="424">
        <v>0</v>
      </c>
      <c r="F6" s="424">
        <v>3120</v>
      </c>
      <c r="G6" s="425">
        <v>11.75</v>
      </c>
      <c r="H6" s="425">
        <v>1.25</v>
      </c>
      <c r="I6" s="282">
        <f t="shared" ref="I6:I11" si="0">+(H6+G6)*(F6*E6)</f>
        <v>0</v>
      </c>
    </row>
    <row r="7" spans="1:9" ht="15.6">
      <c r="D7" s="234" t="s">
        <v>667</v>
      </c>
      <c r="E7" s="424">
        <v>5</v>
      </c>
      <c r="F7" s="424">
        <v>3120</v>
      </c>
      <c r="G7" s="425">
        <v>11.5</v>
      </c>
      <c r="H7" s="425">
        <v>1.25</v>
      </c>
      <c r="I7" s="282">
        <f t="shared" si="0"/>
        <v>198900</v>
      </c>
    </row>
    <row r="8" spans="1:9" ht="15.6">
      <c r="D8" s="234" t="s">
        <v>668</v>
      </c>
      <c r="E8" s="424">
        <v>1</v>
      </c>
      <c r="F8" s="424">
        <v>3120</v>
      </c>
      <c r="G8" s="425">
        <v>10.75</v>
      </c>
      <c r="H8" s="425">
        <v>1.25</v>
      </c>
      <c r="I8" s="282">
        <f t="shared" si="0"/>
        <v>37440</v>
      </c>
    </row>
    <row r="9" spans="1:9" ht="15.6">
      <c r="D9" s="234" t="s">
        <v>382</v>
      </c>
      <c r="E9" s="424">
        <v>0</v>
      </c>
      <c r="F9" s="424">
        <v>3120</v>
      </c>
      <c r="G9" s="425">
        <v>10.75</v>
      </c>
      <c r="H9" s="425">
        <v>1.25</v>
      </c>
      <c r="I9" s="282">
        <f t="shared" si="0"/>
        <v>0</v>
      </c>
    </row>
    <row r="10" spans="1:9" ht="15.6">
      <c r="D10" s="234" t="s">
        <v>383</v>
      </c>
      <c r="E10" s="424">
        <v>0</v>
      </c>
      <c r="F10" s="424">
        <v>3120</v>
      </c>
      <c r="G10" s="425">
        <v>10.5</v>
      </c>
      <c r="H10" s="425">
        <v>1.25</v>
      </c>
      <c r="I10" s="282">
        <f t="shared" si="0"/>
        <v>0</v>
      </c>
    </row>
    <row r="11" spans="1:9" ht="16.2" thickBot="1">
      <c r="D11" s="277" t="s">
        <v>415</v>
      </c>
      <c r="E11" s="426">
        <v>0</v>
      </c>
      <c r="F11" s="426">
        <v>3120</v>
      </c>
      <c r="G11" s="427">
        <v>13</v>
      </c>
      <c r="H11" s="427">
        <v>1.25</v>
      </c>
      <c r="I11" s="283">
        <f t="shared" si="0"/>
        <v>0</v>
      </c>
    </row>
    <row r="12" spans="1:9" ht="16.2" thickTop="1">
      <c r="D12" s="284" t="s">
        <v>384</v>
      </c>
      <c r="E12" s="284">
        <f>+SUM(E4:E11)</f>
        <v>8</v>
      </c>
      <c r="F12" s="284"/>
      <c r="G12" s="284"/>
      <c r="H12" s="285"/>
      <c r="I12" s="286">
        <f>+SUM(I4:I11)</f>
        <v>402840</v>
      </c>
    </row>
    <row r="13" spans="1:9">
      <c r="I13" s="115"/>
    </row>
  </sheetData>
  <sheetProtection sheet="1" objects="1" scenarios="1"/>
  <mergeCells count="2">
    <mergeCell ref="A4:C4"/>
    <mergeCell ref="D2:I2"/>
  </mergeCells>
  <phoneticPr fontId="0" type="noConversion"/>
  <hyperlinks>
    <hyperlink ref="A4:C4" location="Main!B69" display="Return to Main Budget" xr:uid="{00000000-0004-0000-1500-000000000000}"/>
  </hyperlinks>
  <pageMargins left="0.75" right="0.75" top="1" bottom="1" header="0.5" footer="0.5"/>
  <headerFooter alignWithMargins="0">
    <oddFooter>&amp;A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398"/>
  <sheetViews>
    <sheetView tabSelected="1" workbookViewId="0">
      <selection activeCell="A2" sqref="A2"/>
    </sheetView>
  </sheetViews>
  <sheetFormatPr defaultColWidth="8.44140625" defaultRowHeight="15"/>
  <cols>
    <col min="1" max="1" width="37.33203125" style="202" customWidth="1"/>
    <col min="2" max="2" width="42.33203125" style="203" customWidth="1"/>
    <col min="3" max="3" width="13.109375" style="203" customWidth="1"/>
    <col min="4" max="4" width="13.77734375" style="203" customWidth="1"/>
    <col min="5" max="5" width="17.77734375" style="203" customWidth="1"/>
    <col min="6" max="6" width="16.109375" style="203" customWidth="1"/>
    <col min="7" max="7" width="14.77734375" style="203" customWidth="1"/>
    <col min="8" max="8" width="14.6640625" style="203" customWidth="1"/>
    <col min="9" max="9" width="19.44140625" style="203" customWidth="1"/>
    <col min="10" max="10" width="8.44140625" style="203" customWidth="1"/>
    <col min="11" max="16384" width="8.44140625" style="203"/>
  </cols>
  <sheetData>
    <row r="1" spans="1:9" ht="15.6">
      <c r="B1" s="507" t="s">
        <v>706</v>
      </c>
      <c r="C1" s="507"/>
      <c r="D1" s="507"/>
      <c r="E1" s="507"/>
      <c r="F1" s="507"/>
      <c r="G1" s="507"/>
      <c r="H1" s="507"/>
      <c r="I1" s="507"/>
    </row>
    <row r="2" spans="1:9" s="480" customFormat="1">
      <c r="A2" s="202"/>
      <c r="B2" s="508" t="s">
        <v>744</v>
      </c>
      <c r="C2" s="508"/>
      <c r="D2" s="508"/>
      <c r="E2" s="508"/>
      <c r="F2" s="508"/>
      <c r="G2" s="508"/>
      <c r="H2" s="508"/>
      <c r="I2" s="508"/>
    </row>
    <row r="3" spans="1:9">
      <c r="B3" s="508" t="s">
        <v>704</v>
      </c>
      <c r="C3" s="508"/>
      <c r="D3" s="508"/>
      <c r="E3" s="508"/>
      <c r="F3" s="508"/>
      <c r="G3" s="508"/>
      <c r="H3" s="508"/>
      <c r="I3" s="508"/>
    </row>
    <row r="4" spans="1:9">
      <c r="B4" s="508" t="s">
        <v>699</v>
      </c>
      <c r="C4" s="508"/>
      <c r="D4" s="508"/>
      <c r="E4" s="508"/>
      <c r="F4" s="508"/>
      <c r="G4" s="508"/>
      <c r="H4" s="508"/>
      <c r="I4" s="508"/>
    </row>
    <row r="5" spans="1:9">
      <c r="B5" s="509" t="s">
        <v>587</v>
      </c>
      <c r="C5" s="509"/>
      <c r="D5" s="509"/>
      <c r="E5" s="509"/>
      <c r="F5" s="509"/>
      <c r="G5" s="509"/>
      <c r="H5" s="509"/>
      <c r="I5" s="509"/>
    </row>
    <row r="6" spans="1:9" ht="30" customHeight="1">
      <c r="B6" s="510" t="s">
        <v>702</v>
      </c>
      <c r="C6" s="485"/>
      <c r="D6" s="485"/>
      <c r="E6" s="485"/>
      <c r="F6" s="485"/>
      <c r="G6" s="485"/>
      <c r="H6" s="485"/>
      <c r="I6" s="485"/>
    </row>
    <row r="7" spans="1:9">
      <c r="B7" s="509"/>
      <c r="C7" s="509"/>
      <c r="D7" s="509"/>
      <c r="E7" s="509"/>
      <c r="F7" s="509"/>
      <c r="G7" s="509"/>
      <c r="H7" s="509"/>
      <c r="I7" s="509"/>
    </row>
    <row r="8" spans="1:9" ht="15.6">
      <c r="B8" s="512" t="s">
        <v>745</v>
      </c>
      <c r="C8" s="512"/>
      <c r="D8" s="512"/>
      <c r="E8" s="512"/>
      <c r="F8" s="512"/>
      <c r="G8" s="512"/>
      <c r="H8" s="512"/>
      <c r="I8" s="512"/>
    </row>
    <row r="9" spans="1:9" ht="15.6">
      <c r="B9" s="513" t="s">
        <v>663</v>
      </c>
      <c r="C9" s="513"/>
      <c r="D9" s="513"/>
      <c r="E9" s="513"/>
      <c r="F9" s="513"/>
      <c r="G9" s="513"/>
      <c r="H9" s="513"/>
      <c r="I9" s="513"/>
    </row>
    <row r="10" spans="1:9" ht="15.6">
      <c r="B10" s="513"/>
      <c r="C10" s="513"/>
      <c r="D10" s="513"/>
      <c r="E10" s="513"/>
      <c r="F10" s="513"/>
      <c r="G10" s="513"/>
      <c r="H10" s="513"/>
      <c r="I10" s="513"/>
    </row>
    <row r="11" spans="1:9" ht="15.6">
      <c r="B11" s="514" t="str">
        <f>+B1</f>
        <v>600 Cow Hybrid Grazing Dairy Enterprise Budget</v>
      </c>
      <c r="C11" s="514"/>
      <c r="D11" s="514"/>
      <c r="E11" s="514"/>
      <c r="F11" s="514"/>
      <c r="G11" s="514"/>
      <c r="H11" s="514"/>
      <c r="I11" s="514"/>
    </row>
    <row r="12" spans="1:9" ht="15.6">
      <c r="A12" s="204"/>
      <c r="B12" s="514"/>
      <c r="C12" s="514"/>
      <c r="D12" s="514"/>
      <c r="E12" s="514"/>
      <c r="F12" s="514"/>
      <c r="G12" s="514"/>
      <c r="H12" s="514"/>
      <c r="I12" s="514"/>
    </row>
    <row r="13" spans="1:9" ht="15.6">
      <c r="A13" s="205"/>
      <c r="B13" s="515" t="s">
        <v>649</v>
      </c>
      <c r="C13" s="516"/>
      <c r="D13" s="516"/>
      <c r="E13" s="517"/>
      <c r="F13" s="205"/>
      <c r="G13" s="205"/>
      <c r="H13" s="205"/>
    </row>
    <row r="14" spans="1:9" ht="28.95" customHeight="1">
      <c r="A14" s="206"/>
      <c r="B14" s="518" t="s">
        <v>619</v>
      </c>
      <c r="C14" s="518"/>
      <c r="D14" s="518"/>
      <c r="E14" s="518"/>
      <c r="F14" s="518"/>
      <c r="G14" s="257">
        <v>2</v>
      </c>
      <c r="H14" s="207"/>
    </row>
    <row r="15" spans="1:9" ht="15.6" thickBot="1">
      <c r="B15" s="208"/>
      <c r="C15" s="208"/>
      <c r="D15" s="208"/>
      <c r="E15" s="208"/>
      <c r="F15" s="208"/>
      <c r="G15" s="208"/>
      <c r="H15" s="209"/>
    </row>
    <row r="16" spans="1:9" ht="15.6">
      <c r="B16" s="519" t="s">
        <v>738</v>
      </c>
      <c r="C16" s="519"/>
      <c r="D16" s="519"/>
      <c r="E16" s="519"/>
      <c r="F16" s="519"/>
      <c r="G16" s="519"/>
      <c r="H16" s="252">
        <v>600</v>
      </c>
    </row>
    <row r="17" spans="1:9" ht="15.6">
      <c r="B17" s="511" t="s">
        <v>1</v>
      </c>
      <c r="C17" s="511"/>
      <c r="D17" s="511"/>
      <c r="E17" s="511"/>
      <c r="F17" s="511"/>
      <c r="G17" s="511"/>
      <c r="H17" s="253">
        <v>12.5</v>
      </c>
    </row>
    <row r="18" spans="1:9">
      <c r="B18" s="511" t="s">
        <v>2</v>
      </c>
      <c r="C18" s="511"/>
      <c r="D18" s="511"/>
      <c r="E18" s="511"/>
      <c r="F18" s="511"/>
      <c r="G18" s="511"/>
      <c r="H18" s="292">
        <f>+(cows*12)/interval</f>
        <v>576</v>
      </c>
    </row>
    <row r="19" spans="1:9" ht="15.6">
      <c r="B19" s="497" t="s">
        <v>326</v>
      </c>
      <c r="C19" s="497"/>
      <c r="D19" s="497"/>
      <c r="E19" s="497"/>
      <c r="F19" s="497"/>
      <c r="G19" s="497"/>
      <c r="H19" s="254">
        <f>65*305</f>
        <v>19825</v>
      </c>
    </row>
    <row r="20" spans="1:9">
      <c r="B20" s="497" t="s">
        <v>328</v>
      </c>
      <c r="C20" s="497"/>
      <c r="D20" s="497"/>
      <c r="E20" s="497"/>
      <c r="F20" s="497"/>
      <c r="G20" s="497"/>
      <c r="H20" s="292">
        <f>+(lactations*MILK)/100</f>
        <v>114192</v>
      </c>
    </row>
    <row r="21" spans="1:9" ht="15.6">
      <c r="B21" s="497" t="s">
        <v>673</v>
      </c>
      <c r="C21" s="497"/>
      <c r="D21" s="497"/>
      <c r="E21" s="497"/>
      <c r="F21" s="497"/>
      <c r="G21" s="497"/>
      <c r="H21" s="255">
        <v>23</v>
      </c>
      <c r="I21" s="471" t="s">
        <v>734</v>
      </c>
    </row>
    <row r="22" spans="1:9" ht="15.6">
      <c r="B22" s="511" t="s">
        <v>3</v>
      </c>
      <c r="C22" s="511"/>
      <c r="D22" s="511"/>
      <c r="E22" s="511"/>
      <c r="F22" s="511"/>
      <c r="G22" s="511"/>
      <c r="H22" s="256">
        <v>3.5999999999999997E-2</v>
      </c>
    </row>
    <row r="23" spans="1:9">
      <c r="B23" s="497" t="s">
        <v>327</v>
      </c>
      <c r="C23" s="497"/>
      <c r="D23" s="497"/>
      <c r="E23" s="497"/>
      <c r="F23" s="497"/>
      <c r="G23" s="497"/>
      <c r="H23" s="293">
        <f>+MILK</f>
        <v>19825</v>
      </c>
    </row>
    <row r="24" spans="1:9" ht="15.6">
      <c r="B24" s="511" t="s">
        <v>4</v>
      </c>
      <c r="C24" s="511"/>
      <c r="D24" s="511"/>
      <c r="E24" s="511"/>
      <c r="F24" s="511"/>
      <c r="G24" s="511"/>
      <c r="H24" s="256">
        <v>0.32</v>
      </c>
    </row>
    <row r="25" spans="1:9" ht="15.6">
      <c r="B25" s="511" t="s">
        <v>5</v>
      </c>
      <c r="C25" s="511"/>
      <c r="D25" s="511"/>
      <c r="E25" s="511"/>
      <c r="F25" s="511"/>
      <c r="G25" s="511"/>
      <c r="H25" s="256">
        <v>7.4999999999999997E-2</v>
      </c>
    </row>
    <row r="26" spans="1:9" ht="15.6">
      <c r="B26" s="511" t="s">
        <v>6</v>
      </c>
      <c r="C26" s="511"/>
      <c r="D26" s="511"/>
      <c r="E26" s="511"/>
      <c r="F26" s="511"/>
      <c r="G26" s="511"/>
      <c r="H26" s="256">
        <v>0.05</v>
      </c>
    </row>
    <row r="27" spans="1:9" ht="15.6">
      <c r="B27" s="511" t="s">
        <v>318</v>
      </c>
      <c r="C27" s="511"/>
      <c r="D27" s="511"/>
      <c r="E27" s="511"/>
      <c r="F27" s="511"/>
      <c r="G27" s="511"/>
      <c r="H27" s="256">
        <v>0.12</v>
      </c>
    </row>
    <row r="28" spans="1:9" s="465" customFormat="1" ht="15.6">
      <c r="A28" s="202"/>
      <c r="B28" s="497" t="s">
        <v>740</v>
      </c>
      <c r="C28" s="497"/>
      <c r="D28" s="497"/>
      <c r="E28" s="497"/>
      <c r="F28" s="497"/>
      <c r="G28" s="521"/>
      <c r="H28" s="479">
        <f>+(cows)*(cull_rate+death_loss+heifer_death)</f>
        <v>309</v>
      </c>
    </row>
    <row r="29" spans="1:9" s="465" customFormat="1" ht="15.6">
      <c r="A29" s="202"/>
      <c r="B29" s="497" t="s">
        <v>741</v>
      </c>
      <c r="C29" s="497"/>
      <c r="D29" s="497"/>
      <c r="E29" s="497"/>
      <c r="F29" s="497"/>
      <c r="G29" s="521"/>
      <c r="H29" s="288">
        <v>350</v>
      </c>
    </row>
    <row r="30" spans="1:9" s="465" customFormat="1" ht="15.6">
      <c r="A30" s="202"/>
      <c r="H30" s="476"/>
    </row>
    <row r="32" spans="1:9" ht="15.6" thickBot="1"/>
    <row r="33" spans="1:9" ht="31.8" thickBot="1">
      <c r="B33" s="490" t="s">
        <v>24</v>
      </c>
      <c r="C33" s="491"/>
      <c r="D33" s="211"/>
      <c r="E33" s="212" t="s">
        <v>244</v>
      </c>
      <c r="F33" s="212" t="s">
        <v>330</v>
      </c>
      <c r="G33" s="212" t="s">
        <v>331</v>
      </c>
      <c r="H33" s="212" t="s">
        <v>332</v>
      </c>
      <c r="I33" s="213" t="s">
        <v>333</v>
      </c>
    </row>
    <row r="34" spans="1:9" ht="15.6">
      <c r="A34" s="214" t="s">
        <v>12</v>
      </c>
      <c r="G34" s="215" t="s">
        <v>13</v>
      </c>
      <c r="H34" s="216"/>
    </row>
    <row r="35" spans="1:9" ht="15.6">
      <c r="B35" s="308" t="s">
        <v>14</v>
      </c>
      <c r="C35" s="308"/>
      <c r="D35" s="308"/>
      <c r="E35" s="308" t="s">
        <v>322</v>
      </c>
      <c r="F35" s="307">
        <f>+TOTAL_MILK_PROD</f>
        <v>114192</v>
      </c>
      <c r="G35" s="258">
        <v>1</v>
      </c>
      <c r="H35" s="294">
        <f t="shared" ref="H35:H38" si="0">F35*G35</f>
        <v>114192</v>
      </c>
      <c r="I35" s="295">
        <f t="shared" ref="I35:I69" si="1">+H35/cows</f>
        <v>190.32</v>
      </c>
    </row>
    <row r="36" spans="1:9" ht="15.6">
      <c r="B36" s="308" t="s">
        <v>16</v>
      </c>
      <c r="C36" s="308"/>
      <c r="D36" s="308"/>
      <c r="E36" s="308" t="s">
        <v>322</v>
      </c>
      <c r="F36" s="307">
        <f>+TOTAL_MILK_PROD</f>
        <v>114192</v>
      </c>
      <c r="G36" s="258">
        <v>0.1</v>
      </c>
      <c r="H36" s="294">
        <f t="shared" si="0"/>
        <v>11419.2</v>
      </c>
      <c r="I36" s="295">
        <f t="shared" si="1"/>
        <v>19.032</v>
      </c>
    </row>
    <row r="37" spans="1:9" ht="15.6">
      <c r="B37" s="308" t="s">
        <v>17</v>
      </c>
      <c r="C37" s="308"/>
      <c r="D37" s="308"/>
      <c r="E37" s="308" t="s">
        <v>322</v>
      </c>
      <c r="F37" s="307">
        <f>+TOTAL_MILK_PROD</f>
        <v>114192</v>
      </c>
      <c r="G37" s="258">
        <v>0.16</v>
      </c>
      <c r="H37" s="294">
        <f t="shared" si="0"/>
        <v>18270.72</v>
      </c>
      <c r="I37" s="295">
        <f t="shared" si="1"/>
        <v>30.451200000000004</v>
      </c>
    </row>
    <row r="38" spans="1:9" ht="15.6">
      <c r="B38" s="308" t="s">
        <v>18</v>
      </c>
      <c r="C38" s="308"/>
      <c r="D38" s="308"/>
      <c r="E38" s="308" t="s">
        <v>323</v>
      </c>
      <c r="F38" s="307">
        <f>H16</f>
        <v>600</v>
      </c>
      <c r="G38" s="258">
        <v>16.25</v>
      </c>
      <c r="H38" s="294">
        <f t="shared" si="0"/>
        <v>9750</v>
      </c>
      <c r="I38" s="295">
        <f t="shared" si="1"/>
        <v>16.25</v>
      </c>
    </row>
    <row r="39" spans="1:9" ht="15.6">
      <c r="A39" s="218" t="s">
        <v>715</v>
      </c>
      <c r="B39" s="259" t="s">
        <v>650</v>
      </c>
      <c r="C39" s="259"/>
      <c r="D39" s="259"/>
      <c r="E39" s="259"/>
      <c r="F39" s="260"/>
      <c r="G39" s="217"/>
      <c r="H39" s="296">
        <f>+SUM(H40:H49)</f>
        <v>679796.18375999993</v>
      </c>
      <c r="I39" s="297">
        <f>+H39/cows</f>
        <v>1132.9936395999998</v>
      </c>
    </row>
    <row r="40" spans="1:9" ht="15.6">
      <c r="B40" s="309" t="s">
        <v>593</v>
      </c>
      <c r="C40" s="308"/>
      <c r="D40" s="308"/>
      <c r="E40" s="308" t="s">
        <v>564</v>
      </c>
      <c r="F40" s="307">
        <f>+Feed_detail!F47</f>
        <v>-295.95339999999942</v>
      </c>
      <c r="G40" s="258">
        <v>0</v>
      </c>
      <c r="H40" s="294">
        <f t="shared" ref="H40:H49" si="2">+G40*F40</f>
        <v>0</v>
      </c>
      <c r="I40" s="295">
        <f>+H40/cows</f>
        <v>0</v>
      </c>
    </row>
    <row r="41" spans="1:9" ht="15.6">
      <c r="B41" s="309" t="s">
        <v>594</v>
      </c>
      <c r="C41" s="308"/>
      <c r="D41" s="308"/>
      <c r="E41" s="308" t="s">
        <v>564</v>
      </c>
      <c r="F41" s="307">
        <f>+Feed_detail!F48</f>
        <v>-272.42693999999983</v>
      </c>
      <c r="G41" s="258">
        <v>0</v>
      </c>
      <c r="H41" s="294">
        <f t="shared" si="2"/>
        <v>0</v>
      </c>
      <c r="I41" s="295">
        <f>+H41/cows</f>
        <v>0</v>
      </c>
    </row>
    <row r="42" spans="1:9" ht="15.6">
      <c r="B42" s="309" t="s">
        <v>595</v>
      </c>
      <c r="C42" s="308"/>
      <c r="D42" s="308"/>
      <c r="E42" s="308" t="s">
        <v>564</v>
      </c>
      <c r="F42" s="307">
        <f>+Feed_detail!F49</f>
        <v>-54.079999999999927</v>
      </c>
      <c r="G42" s="258">
        <v>0</v>
      </c>
      <c r="H42" s="294">
        <f t="shared" si="2"/>
        <v>0</v>
      </c>
      <c r="I42" s="295">
        <f>+H42/cows</f>
        <v>0</v>
      </c>
    </row>
    <row r="43" spans="1:9" ht="15.6">
      <c r="B43" s="309" t="s">
        <v>596</v>
      </c>
      <c r="C43" s="308"/>
      <c r="D43" s="308"/>
      <c r="E43" s="308" t="s">
        <v>564</v>
      </c>
      <c r="F43" s="307">
        <f>+Feed_detail!F50</f>
        <v>256.36204000000004</v>
      </c>
      <c r="G43" s="258">
        <v>0</v>
      </c>
      <c r="H43" s="294">
        <f t="shared" si="2"/>
        <v>0</v>
      </c>
      <c r="I43" s="295">
        <f>+H43/cows</f>
        <v>0</v>
      </c>
    </row>
    <row r="44" spans="1:9" s="245" customFormat="1" ht="15.6">
      <c r="A44" s="202"/>
      <c r="B44" s="309" t="s">
        <v>655</v>
      </c>
      <c r="C44" s="308"/>
      <c r="D44" s="308"/>
      <c r="E44" s="308" t="s">
        <v>564</v>
      </c>
      <c r="F44" s="307">
        <f>+Feed_detail!F51</f>
        <v>2102.2754399999999</v>
      </c>
      <c r="G44" s="258">
        <v>39</v>
      </c>
      <c r="H44" s="294">
        <f t="shared" ref="H44" si="3">+G44*F44</f>
        <v>81988.742159999994</v>
      </c>
      <c r="I44" s="295">
        <f t="shared" ref="I44" si="4">+H44/cows</f>
        <v>136.64790359999998</v>
      </c>
    </row>
    <row r="45" spans="1:9" ht="15.6">
      <c r="B45" s="309" t="s">
        <v>597</v>
      </c>
      <c r="C45" s="308"/>
      <c r="D45" s="308"/>
      <c r="E45" s="308" t="s">
        <v>564</v>
      </c>
      <c r="F45" s="307">
        <f>+Feed_detail!F52</f>
        <v>921.0619425000001</v>
      </c>
      <c r="G45" s="258">
        <v>200</v>
      </c>
      <c r="H45" s="294">
        <f t="shared" si="2"/>
        <v>184212.38850000003</v>
      </c>
      <c r="I45" s="295">
        <f t="shared" ref="I45:I50" si="5">+H45/cows</f>
        <v>307.02064750000005</v>
      </c>
    </row>
    <row r="46" spans="1:9" ht="15.6">
      <c r="B46" s="309" t="s">
        <v>599</v>
      </c>
      <c r="C46" s="308"/>
      <c r="D46" s="308"/>
      <c r="E46" s="308" t="s">
        <v>564</v>
      </c>
      <c r="F46" s="307">
        <f>+Feed_detail!F53</f>
        <v>1475.4602123999998</v>
      </c>
      <c r="G46" s="258">
        <v>250</v>
      </c>
      <c r="H46" s="294">
        <f t="shared" si="2"/>
        <v>368865.05309999996</v>
      </c>
      <c r="I46" s="295">
        <f t="shared" si="5"/>
        <v>614.77508849999992</v>
      </c>
    </row>
    <row r="47" spans="1:9" ht="15.6">
      <c r="B47" s="309" t="s">
        <v>605</v>
      </c>
      <c r="C47" s="308"/>
      <c r="D47" s="308"/>
      <c r="E47" s="308" t="s">
        <v>614</v>
      </c>
      <c r="F47" s="307">
        <f>+Feed_detail!I41*40</f>
        <v>630</v>
      </c>
      <c r="G47" s="258">
        <v>60</v>
      </c>
      <c r="H47" s="294">
        <f t="shared" si="2"/>
        <v>37800</v>
      </c>
      <c r="I47" s="295">
        <f t="shared" si="5"/>
        <v>63</v>
      </c>
    </row>
    <row r="48" spans="1:9" s="465" customFormat="1" ht="15.6">
      <c r="A48" s="202"/>
      <c r="B48" s="309" t="s">
        <v>739</v>
      </c>
      <c r="C48" s="308"/>
      <c r="D48" s="308"/>
      <c r="E48" s="308" t="s">
        <v>322</v>
      </c>
      <c r="F48" s="307">
        <f>+Feed_detail!I42</f>
        <v>0</v>
      </c>
      <c r="G48" s="258">
        <v>550</v>
      </c>
      <c r="H48" s="294">
        <f t="shared" ref="H48" si="6">+G48*F48</f>
        <v>0</v>
      </c>
      <c r="I48" s="295">
        <f t="shared" si="5"/>
        <v>0</v>
      </c>
    </row>
    <row r="49" spans="1:9" ht="15.6">
      <c r="B49" s="309" t="s">
        <v>613</v>
      </c>
      <c r="C49" s="308"/>
      <c r="D49" s="308"/>
      <c r="E49" s="308" t="s">
        <v>564</v>
      </c>
      <c r="F49" s="307">
        <f>+Feed_detail!I43</f>
        <v>12.6</v>
      </c>
      <c r="G49" s="258">
        <v>550</v>
      </c>
      <c r="H49" s="294">
        <f t="shared" si="2"/>
        <v>6930</v>
      </c>
      <c r="I49" s="295">
        <f t="shared" si="5"/>
        <v>11.55</v>
      </c>
    </row>
    <row r="50" spans="1:9" ht="15.6">
      <c r="B50" s="495" t="s">
        <v>653</v>
      </c>
      <c r="C50" s="495"/>
      <c r="D50" s="495"/>
      <c r="E50" s="308" t="s">
        <v>323</v>
      </c>
      <c r="F50" s="307">
        <f>H16</f>
        <v>600</v>
      </c>
      <c r="G50" s="258">
        <v>0</v>
      </c>
      <c r="H50" s="294">
        <f>F50*G50</f>
        <v>0</v>
      </c>
      <c r="I50" s="295">
        <f t="shared" si="5"/>
        <v>0</v>
      </c>
    </row>
    <row r="51" spans="1:9" ht="15.6">
      <c r="B51" s="525" t="s">
        <v>691</v>
      </c>
      <c r="C51" s="526"/>
      <c r="D51" s="526"/>
      <c r="E51" s="526"/>
      <c r="F51" s="526"/>
      <c r="G51" s="527"/>
      <c r="H51" s="296">
        <f>+SUM(H52:H56)</f>
        <v>127850</v>
      </c>
      <c r="I51" s="297">
        <f t="shared" si="1"/>
        <v>213.08333333333334</v>
      </c>
    </row>
    <row r="52" spans="1:9" ht="15.6">
      <c r="A52" s="218" t="s">
        <v>533</v>
      </c>
      <c r="B52" s="309" t="s">
        <v>593</v>
      </c>
      <c r="C52" s="308"/>
      <c r="D52" s="308"/>
      <c r="E52" s="308" t="s">
        <v>578</v>
      </c>
      <c r="F52" s="303">
        <f>+Corn_silage!B5</f>
        <v>200</v>
      </c>
      <c r="G52" s="306">
        <f>+IF(F52&gt;0,'Raised Summary'!B$11,0)</f>
        <v>290.63</v>
      </c>
      <c r="H52" s="294">
        <f>+G52*F52</f>
        <v>58126</v>
      </c>
      <c r="I52" s="295">
        <f t="shared" si="1"/>
        <v>96.876666666666665</v>
      </c>
    </row>
    <row r="53" spans="1:9" ht="15.6">
      <c r="A53" s="218" t="s">
        <v>536</v>
      </c>
      <c r="B53" s="309" t="s">
        <v>594</v>
      </c>
      <c r="C53" s="308"/>
      <c r="D53" s="308"/>
      <c r="E53" s="308" t="s">
        <v>578</v>
      </c>
      <c r="F53" s="303">
        <f>+Sorghum_silage!B5</f>
        <v>75</v>
      </c>
      <c r="G53" s="306">
        <f>+IF(F53&gt;0,'Raised Summary'!C$11,0)</f>
        <v>305.87</v>
      </c>
      <c r="H53" s="294">
        <f t="shared" ref="H53:H56" si="7">+G53*F53</f>
        <v>22940.25</v>
      </c>
      <c r="I53" s="295">
        <f t="shared" si="1"/>
        <v>38.233750000000001</v>
      </c>
    </row>
    <row r="54" spans="1:9" s="268" customFormat="1" ht="15.6">
      <c r="A54" s="218" t="s">
        <v>696</v>
      </c>
      <c r="B54" s="309" t="s">
        <v>595</v>
      </c>
      <c r="C54" s="308"/>
      <c r="D54" s="308"/>
      <c r="E54" s="308" t="s">
        <v>578</v>
      </c>
      <c r="F54" s="303">
        <f>+Winter_Silage!B3</f>
        <v>10</v>
      </c>
      <c r="G54" s="306">
        <f>+IF(F54&gt;0,'Raised Summary'!D$11,0)</f>
        <v>163.75</v>
      </c>
      <c r="H54" s="294">
        <f t="shared" ref="H54" si="8">+G54*F54</f>
        <v>1637.5</v>
      </c>
      <c r="I54" s="295">
        <f t="shared" ref="I54" si="9">+H54/cows</f>
        <v>2.7291666666666665</v>
      </c>
    </row>
    <row r="55" spans="1:9" ht="15.6">
      <c r="A55" s="218" t="s">
        <v>697</v>
      </c>
      <c r="B55" s="309" t="s">
        <v>669</v>
      </c>
      <c r="C55" s="308"/>
      <c r="D55" s="308"/>
      <c r="E55" s="308" t="s">
        <v>578</v>
      </c>
      <c r="F55" s="303">
        <f>+Winter_Grazing!B4</f>
        <v>200</v>
      </c>
      <c r="G55" s="306">
        <f>+IF(F55&gt;0,'Raised Summary'!F$11,0)</f>
        <v>85.2</v>
      </c>
      <c r="H55" s="294">
        <f t="shared" si="7"/>
        <v>17040</v>
      </c>
      <c r="I55" s="295">
        <f t="shared" si="1"/>
        <v>28.4</v>
      </c>
    </row>
    <row r="56" spans="1:9" ht="15.6">
      <c r="A56" s="218" t="s">
        <v>698</v>
      </c>
      <c r="B56" s="309" t="s">
        <v>596</v>
      </c>
      <c r="C56" s="308"/>
      <c r="D56" s="308"/>
      <c r="E56" s="308" t="s">
        <v>578</v>
      </c>
      <c r="F56" s="303">
        <f>+Bermuda_hay!B3</f>
        <v>75</v>
      </c>
      <c r="G56" s="306">
        <f>+IF(F56&gt;0,'Raised Summary'!E$11,0)</f>
        <v>374.75</v>
      </c>
      <c r="H56" s="294">
        <f t="shared" si="7"/>
        <v>28106.25</v>
      </c>
      <c r="I56" s="295">
        <f t="shared" si="1"/>
        <v>46.84375</v>
      </c>
    </row>
    <row r="57" spans="1:9" s="268" customFormat="1" ht="15.6">
      <c r="A57" s="218" t="s">
        <v>671</v>
      </c>
      <c r="B57" s="309" t="s">
        <v>670</v>
      </c>
      <c r="C57" s="308"/>
      <c r="D57" s="308"/>
      <c r="E57" s="308" t="s">
        <v>578</v>
      </c>
      <c r="F57" s="303">
        <f>+PERMANENT_PASTURE!B3</f>
        <v>200</v>
      </c>
      <c r="G57" s="306">
        <f>+IF(F57&gt;0,'Raised Summary'!G$11,0)</f>
        <v>216.5</v>
      </c>
      <c r="H57" s="294">
        <f t="shared" ref="H57" si="10">+G57*F57</f>
        <v>43300</v>
      </c>
      <c r="I57" s="295">
        <f t="shared" ref="I57" si="11">+H57/cows</f>
        <v>72.166666666666671</v>
      </c>
    </row>
    <row r="58" spans="1:9" ht="15.6">
      <c r="B58" s="497" t="s">
        <v>684</v>
      </c>
      <c r="C58" s="497"/>
      <c r="D58" s="497"/>
      <c r="E58" s="271" t="s">
        <v>578</v>
      </c>
      <c r="F58" s="264">
        <v>0</v>
      </c>
      <c r="G58" s="258">
        <v>0</v>
      </c>
      <c r="H58" s="294">
        <f>+G58*F58</f>
        <v>0</v>
      </c>
      <c r="I58" s="295">
        <f t="shared" ref="I58:I60" si="12">+H58/cows</f>
        <v>0</v>
      </c>
    </row>
    <row r="59" spans="1:9" s="271" customFormat="1" ht="33" customHeight="1">
      <c r="A59" s="202"/>
      <c r="B59" s="496" t="s">
        <v>686</v>
      </c>
      <c r="C59" s="496"/>
      <c r="D59" s="496"/>
      <c r="E59" s="308" t="s">
        <v>578</v>
      </c>
      <c r="F59" s="303">
        <f>+'Raised Summary'!H3</f>
        <v>850</v>
      </c>
      <c r="G59" s="305">
        <f>+H59/'Raised Summary'!H3</f>
        <v>20.223235294117647</v>
      </c>
      <c r="H59" s="298">
        <f>+'Raised Summary'!H8</f>
        <v>17189.75</v>
      </c>
      <c r="I59" s="295">
        <f t="shared" si="12"/>
        <v>28.649583333333332</v>
      </c>
    </row>
    <row r="60" spans="1:9" s="271" customFormat="1" ht="22.95" customHeight="1">
      <c r="A60" s="202"/>
      <c r="B60" s="496" t="s">
        <v>687</v>
      </c>
      <c r="C60" s="496"/>
      <c r="D60" s="496"/>
      <c r="E60" s="308" t="s">
        <v>688</v>
      </c>
      <c r="F60" s="303">
        <v>1</v>
      </c>
      <c r="G60" s="255"/>
      <c r="H60" s="298">
        <f>+G60*F60</f>
        <v>0</v>
      </c>
      <c r="I60" s="295">
        <f t="shared" si="12"/>
        <v>0</v>
      </c>
    </row>
    <row r="61" spans="1:9" s="271" customFormat="1" ht="33" customHeight="1">
      <c r="A61" s="202"/>
      <c r="B61" s="496" t="s">
        <v>683</v>
      </c>
      <c r="C61" s="496"/>
      <c r="D61" s="496"/>
      <c r="E61" s="308" t="s">
        <v>578</v>
      </c>
      <c r="F61" s="303">
        <f>+'Raised Summary'!H3</f>
        <v>850</v>
      </c>
      <c r="G61" s="290">
        <f>+H61/'Raised Summary'!H3</f>
        <v>57.481470588235297</v>
      </c>
      <c r="H61" s="298">
        <f>+'Raised Summary'!H9</f>
        <v>48859.25</v>
      </c>
      <c r="I61" s="295">
        <f t="shared" ref="I61:I62" si="13">+H61/cows</f>
        <v>81.432083333333338</v>
      </c>
    </row>
    <row r="62" spans="1:9" s="271" customFormat="1" ht="22.05" customHeight="1">
      <c r="A62" s="202"/>
      <c r="B62" s="496" t="s">
        <v>682</v>
      </c>
      <c r="C62" s="496"/>
      <c r="D62" s="496"/>
      <c r="E62" s="308" t="s">
        <v>403</v>
      </c>
      <c r="F62" s="303">
        <f>+SUM(facil_avginv+waste_inv)</f>
        <v>1235112</v>
      </c>
      <c r="G62" s="256">
        <v>0.03</v>
      </c>
      <c r="H62" s="298">
        <f>+G62*F62</f>
        <v>37053.360000000001</v>
      </c>
      <c r="I62" s="295">
        <f t="shared" si="13"/>
        <v>61.755600000000001</v>
      </c>
    </row>
    <row r="63" spans="1:9" ht="31.95" customHeight="1">
      <c r="B63" s="496" t="s">
        <v>681</v>
      </c>
      <c r="C63" s="496"/>
      <c r="D63" s="496"/>
      <c r="E63" s="308" t="s">
        <v>365</v>
      </c>
      <c r="F63" s="303">
        <v>1</v>
      </c>
      <c r="G63" s="289">
        <v>0</v>
      </c>
      <c r="H63" s="299">
        <f>+G63*F63</f>
        <v>0</v>
      </c>
      <c r="I63" s="295">
        <f t="shared" si="1"/>
        <v>0</v>
      </c>
    </row>
    <row r="64" spans="1:9" s="271" customFormat="1" ht="15.6">
      <c r="A64" s="202"/>
      <c r="B64" s="308" t="s">
        <v>19</v>
      </c>
      <c r="C64" s="308"/>
      <c r="D64" s="308"/>
      <c r="E64" s="308" t="s">
        <v>324</v>
      </c>
      <c r="F64" s="303">
        <f>H17</f>
        <v>12.5</v>
      </c>
      <c r="G64" s="258">
        <v>115</v>
      </c>
      <c r="H64" s="294">
        <f>F64*G64</f>
        <v>1437.5</v>
      </c>
      <c r="I64" s="295">
        <f>+H64/cows</f>
        <v>2.3958333333333335</v>
      </c>
    </row>
    <row r="65" spans="1:9" ht="15.6">
      <c r="B65" s="308" t="s">
        <v>703</v>
      </c>
      <c r="C65" s="308"/>
      <c r="D65" s="308"/>
      <c r="E65" s="308" t="s">
        <v>685</v>
      </c>
      <c r="F65" s="303">
        <f>+cows</f>
        <v>600</v>
      </c>
      <c r="G65" s="258">
        <v>30</v>
      </c>
      <c r="H65" s="294">
        <f>F65*G65</f>
        <v>18000</v>
      </c>
      <c r="I65" s="295">
        <f>+H65/cows</f>
        <v>30</v>
      </c>
    </row>
    <row r="66" spans="1:9" ht="15.6">
      <c r="B66" s="308" t="s">
        <v>20</v>
      </c>
      <c r="C66" s="308"/>
      <c r="D66" s="308"/>
      <c r="E66" s="308" t="s">
        <v>365</v>
      </c>
      <c r="F66" s="303"/>
      <c r="G66" s="217"/>
      <c r="H66" s="261">
        <f>H16*24</f>
        <v>14400</v>
      </c>
      <c r="I66" s="295">
        <f t="shared" si="1"/>
        <v>24</v>
      </c>
    </row>
    <row r="67" spans="1:9" ht="15.6">
      <c r="B67" s="487" t="s">
        <v>339</v>
      </c>
      <c r="C67" s="487"/>
      <c r="D67" s="487"/>
      <c r="E67" s="308" t="s">
        <v>365</v>
      </c>
      <c r="F67" s="303"/>
      <c r="G67" s="217"/>
      <c r="H67" s="261">
        <v>5000</v>
      </c>
      <c r="I67" s="295">
        <f t="shared" si="1"/>
        <v>8.3333333333333339</v>
      </c>
    </row>
    <row r="68" spans="1:9" ht="15.6">
      <c r="B68" s="308" t="s">
        <v>674</v>
      </c>
      <c r="C68" s="308"/>
      <c r="D68" s="308"/>
      <c r="E68" s="308" t="s">
        <v>323</v>
      </c>
      <c r="F68" s="303">
        <f>+cows</f>
        <v>600</v>
      </c>
      <c r="G68" s="258">
        <v>65</v>
      </c>
      <c r="H68" s="298">
        <f>+G68*F68</f>
        <v>39000</v>
      </c>
      <c r="I68" s="295">
        <f t="shared" si="1"/>
        <v>65</v>
      </c>
    </row>
    <row r="69" spans="1:9" ht="15.6">
      <c r="B69" s="308" t="s">
        <v>317</v>
      </c>
      <c r="C69" s="308"/>
      <c r="D69" s="308"/>
      <c r="E69" s="308" t="s">
        <v>325</v>
      </c>
      <c r="F69" s="303">
        <f>2.6*H18</f>
        <v>1497.6000000000001</v>
      </c>
      <c r="G69" s="258">
        <v>14</v>
      </c>
      <c r="H69" s="294">
        <f>F69*G69</f>
        <v>20966.400000000001</v>
      </c>
      <c r="I69" s="295">
        <f t="shared" si="1"/>
        <v>34.944000000000003</v>
      </c>
    </row>
    <row r="70" spans="1:9" ht="15.6">
      <c r="B70" s="487" t="s">
        <v>321</v>
      </c>
      <c r="C70" s="487"/>
      <c r="D70" s="487"/>
      <c r="E70" s="308" t="s">
        <v>323</v>
      </c>
      <c r="F70" s="461">
        <v>0</v>
      </c>
      <c r="G70" s="258">
        <v>800</v>
      </c>
      <c r="H70" s="294">
        <f t="shared" ref="H70:H76" si="14">F70*G70</f>
        <v>0</v>
      </c>
      <c r="I70" s="295">
        <f>+H70/cows</f>
        <v>0</v>
      </c>
    </row>
    <row r="71" spans="1:9" ht="15.6">
      <c r="B71" s="487" t="s">
        <v>367</v>
      </c>
      <c r="C71" s="487"/>
      <c r="D71" s="487"/>
      <c r="E71" s="308" t="s">
        <v>323</v>
      </c>
      <c r="F71" s="461"/>
      <c r="G71" s="258">
        <v>365</v>
      </c>
      <c r="H71" s="294">
        <f t="shared" si="14"/>
        <v>0</v>
      </c>
      <c r="I71" s="295">
        <f>+H71/cows</f>
        <v>0</v>
      </c>
    </row>
    <row r="72" spans="1:9" ht="15.6">
      <c r="B72" s="487" t="s">
        <v>368</v>
      </c>
      <c r="C72" s="487"/>
      <c r="D72" s="487"/>
      <c r="E72" s="308" t="s">
        <v>365</v>
      </c>
      <c r="F72" s="461">
        <v>0</v>
      </c>
      <c r="G72" s="258">
        <v>5000</v>
      </c>
      <c r="H72" s="294">
        <f t="shared" si="14"/>
        <v>0</v>
      </c>
      <c r="I72" s="295">
        <f t="shared" ref="I72:I80" si="15">+H72/cows</f>
        <v>0</v>
      </c>
    </row>
    <row r="73" spans="1:9" ht="15.6">
      <c r="B73" s="487" t="s">
        <v>421</v>
      </c>
      <c r="C73" s="487"/>
      <c r="D73" s="487"/>
      <c r="E73" s="308" t="s">
        <v>365</v>
      </c>
      <c r="F73" s="303">
        <v>1</v>
      </c>
      <c r="G73" s="258">
        <v>15000</v>
      </c>
      <c r="H73" s="294">
        <f t="shared" si="14"/>
        <v>15000</v>
      </c>
      <c r="I73" s="295">
        <f t="shared" si="15"/>
        <v>25</v>
      </c>
    </row>
    <row r="74" spans="1:9" ht="15.6">
      <c r="B74" s="487" t="s">
        <v>420</v>
      </c>
      <c r="C74" s="487"/>
      <c r="D74" s="487"/>
      <c r="E74" s="308" t="s">
        <v>422</v>
      </c>
      <c r="F74" s="303">
        <f>+cows</f>
        <v>600</v>
      </c>
      <c r="G74" s="258">
        <v>50</v>
      </c>
      <c r="H74" s="294">
        <f t="shared" si="14"/>
        <v>30000</v>
      </c>
      <c r="I74" s="295">
        <f t="shared" si="15"/>
        <v>50</v>
      </c>
    </row>
    <row r="75" spans="1:9" ht="15.6">
      <c r="A75" s="219" t="s">
        <v>388</v>
      </c>
      <c r="B75" s="308" t="s">
        <v>387</v>
      </c>
      <c r="C75" s="308"/>
      <c r="D75" s="308"/>
      <c r="E75" s="308" t="s">
        <v>365</v>
      </c>
      <c r="F75" s="303">
        <v>1</v>
      </c>
      <c r="G75" s="448">
        <f>+payroll_total</f>
        <v>402840</v>
      </c>
      <c r="H75" s="294">
        <f t="shared" si="14"/>
        <v>402840</v>
      </c>
      <c r="I75" s="295">
        <f t="shared" si="15"/>
        <v>671.4</v>
      </c>
    </row>
    <row r="76" spans="1:9" ht="15.6">
      <c r="B76" s="308" t="s">
        <v>615</v>
      </c>
      <c r="C76" s="308"/>
      <c r="D76" s="308"/>
      <c r="E76" s="308" t="s">
        <v>365</v>
      </c>
      <c r="F76" s="303">
        <v>1</v>
      </c>
      <c r="G76" s="258">
        <v>10000</v>
      </c>
      <c r="H76" s="294">
        <f t="shared" si="14"/>
        <v>10000</v>
      </c>
      <c r="I76" s="295">
        <f t="shared" si="15"/>
        <v>16.666666666666668</v>
      </c>
    </row>
    <row r="77" spans="1:9" s="233" customFormat="1" ht="15.6">
      <c r="A77" s="202"/>
      <c r="B77" s="310" t="s">
        <v>21</v>
      </c>
      <c r="C77" s="310"/>
      <c r="D77" s="310"/>
      <c r="E77" s="310"/>
      <c r="F77" s="304"/>
      <c r="G77" s="258">
        <v>0</v>
      </c>
      <c r="H77" s="301">
        <f>+G77</f>
        <v>0</v>
      </c>
      <c r="I77" s="295">
        <f t="shared" ref="I77:I78" si="16">+H77/cows</f>
        <v>0</v>
      </c>
    </row>
    <row r="78" spans="1:9" s="233" customFormat="1" ht="15.6">
      <c r="A78" s="202"/>
      <c r="B78" s="253" t="s">
        <v>348</v>
      </c>
      <c r="C78" s="253"/>
      <c r="D78" s="253"/>
      <c r="E78" s="253"/>
      <c r="F78" s="473">
        <v>0</v>
      </c>
      <c r="G78" s="258">
        <v>0</v>
      </c>
      <c r="H78" s="301">
        <f>+G78*F78</f>
        <v>0</v>
      </c>
      <c r="I78" s="295">
        <f t="shared" si="16"/>
        <v>0</v>
      </c>
    </row>
    <row r="79" spans="1:9" ht="16.2" thickBot="1">
      <c r="B79" s="253" t="s">
        <v>348</v>
      </c>
      <c r="C79" s="253"/>
      <c r="D79" s="253"/>
      <c r="E79" s="253"/>
      <c r="F79" s="473">
        <v>0</v>
      </c>
      <c r="G79" s="258">
        <v>0</v>
      </c>
      <c r="H79" s="301">
        <f>+G79*F79</f>
        <v>0</v>
      </c>
      <c r="I79" s="295">
        <f t="shared" si="15"/>
        <v>0</v>
      </c>
    </row>
    <row r="80" spans="1:9" ht="16.2" thickBot="1">
      <c r="A80" s="214"/>
      <c r="B80" s="523" t="s">
        <v>553</v>
      </c>
      <c r="C80" s="524"/>
      <c r="D80" s="524"/>
      <c r="E80" s="524"/>
      <c r="F80" s="220" t="s">
        <v>15</v>
      </c>
      <c r="G80" s="221" t="s">
        <v>15</v>
      </c>
      <c r="H80" s="302">
        <f>SUM(H35:H79)-H51-H39</f>
        <v>1664324.3637599996</v>
      </c>
      <c r="I80" s="300">
        <f t="shared" si="15"/>
        <v>2773.8739395999992</v>
      </c>
    </row>
    <row r="81" spans="1:10" ht="31.05" customHeight="1" thickBot="1">
      <c r="B81" s="522" t="s">
        <v>627</v>
      </c>
      <c r="C81" s="522"/>
      <c r="D81" s="522"/>
      <c r="E81" s="522"/>
      <c r="F81" s="522"/>
      <c r="G81" s="522"/>
      <c r="H81" s="522"/>
      <c r="I81" s="522"/>
    </row>
    <row r="82" spans="1:10" ht="16.2" thickBot="1">
      <c r="A82" s="219" t="s">
        <v>400</v>
      </c>
      <c r="B82" s="222" t="str">
        <f>+IF(bud_type=1,"No Fixed Costs for Variable Cost Budget","FIXED COST:(Click Link at Left for Appropriate Cost)")</f>
        <v>FIXED COST:(Click Link at Left for Appropriate Cost)</v>
      </c>
      <c r="C82" s="223"/>
      <c r="D82" s="223"/>
      <c r="E82" s="223"/>
      <c r="F82" s="223"/>
      <c r="G82" s="223"/>
      <c r="H82" s="273" t="str">
        <f>+H33</f>
        <v>TOTAL $</v>
      </c>
      <c r="I82" s="273" t="str">
        <f>+I33</f>
        <v>$/COW</v>
      </c>
    </row>
    <row r="83" spans="1:10" ht="15.6">
      <c r="B83" s="520" t="str">
        <f>+IF(bud_type&lt;&gt;1,"Taxes &amp; Insurance Payments","")</f>
        <v>Taxes &amp; Insurance Payments</v>
      </c>
      <c r="C83" s="520"/>
      <c r="D83" s="520"/>
      <c r="E83" s="520"/>
      <c r="F83" s="311">
        <f>+Fixed_Cost!F103</f>
        <v>924613.70131601731</v>
      </c>
      <c r="G83" s="256">
        <v>1.4E-2</v>
      </c>
      <c r="H83" s="313">
        <f>+IF(B83&lt;&gt;"",F83*G83,"")</f>
        <v>12944.591818424242</v>
      </c>
      <c r="I83" s="313">
        <f t="shared" ref="I83:I89" si="17">+IF(H83&lt;&gt;"",H83/cows,"")</f>
        <v>21.574319697373735</v>
      </c>
    </row>
    <row r="84" spans="1:10">
      <c r="B84" s="493" t="str">
        <f>+IF(bud_type=2,"Total Cattle Fixed Costs",IF(bud_type=3,"Total Payments for Livestock",""))</f>
        <v>Total Cattle Fixed Costs</v>
      </c>
      <c r="C84" s="493"/>
      <c r="D84" s="493"/>
      <c r="E84" s="493"/>
      <c r="F84" s="493"/>
      <c r="H84" s="313">
        <f>IF(bud_type=2,lvstk_fc,IF(bud_type=3,lvstk_pmt,""))</f>
        <v>420581.86036363634</v>
      </c>
      <c r="I84" s="313">
        <f t="shared" si="17"/>
        <v>700.96976727272727</v>
      </c>
    </row>
    <row r="85" spans="1:10">
      <c r="B85" s="492" t="str">
        <f>+IF(bud_type=2,"Total Facilities &amp; Buildings Fixed Costs",IF(bud_type=3,"Total Payments for Facilities &amp; Buildings",""))</f>
        <v>Total Facilities &amp; Buildings Fixed Costs</v>
      </c>
      <c r="C85" s="492"/>
      <c r="D85" s="492"/>
      <c r="E85" s="492"/>
      <c r="F85" s="492"/>
      <c r="H85" s="313">
        <f>+IF(bud_type=2,facil_fc,IF(bud_type=3,facil_pmt,""))</f>
        <v>189882</v>
      </c>
      <c r="I85" s="313">
        <f t="shared" si="17"/>
        <v>316.47000000000003</v>
      </c>
    </row>
    <row r="86" spans="1:10">
      <c r="B86" s="492" t="str">
        <f>+IF(bud_type=2,"Total Waste Management System Fixed Costs",IF(bud_type=3,"Total Payments for Waste Management System",""))</f>
        <v>Total Waste Management System Fixed Costs</v>
      </c>
      <c r="C86" s="492"/>
      <c r="D86" s="492"/>
      <c r="E86" s="492"/>
      <c r="F86" s="492"/>
      <c r="H86" s="313">
        <f>+IF(bud_type=2,waste_fc,IF(bud_type=3,WASTE_MGMT_PMT,""))</f>
        <v>63912.483809523808</v>
      </c>
      <c r="I86" s="313">
        <f t="shared" si="17"/>
        <v>106.52080634920635</v>
      </c>
    </row>
    <row r="87" spans="1:10">
      <c r="B87" s="492" t="str">
        <f>+IF(bud_type=2,"Total Machinery Fixed Costs",IF(bud_type=3,"Total Payments for Machinery",""))</f>
        <v>Total Machinery Fixed Costs</v>
      </c>
      <c r="C87" s="492"/>
      <c r="D87" s="492"/>
      <c r="E87" s="492"/>
      <c r="F87" s="492"/>
      <c r="H87" s="313">
        <f>+IF(bud_type=2,impl_fc,IF(bud_type=3,equip_pmt,""))</f>
        <v>204674.85714285716</v>
      </c>
      <c r="I87" s="313">
        <f t="shared" si="17"/>
        <v>341.12476190476195</v>
      </c>
    </row>
    <row r="88" spans="1:10">
      <c r="B88" s="492" t="str">
        <f>+IF(bud_type=2,"Total Land Fixed Costs",IF(bud_type=3,"Total Payments for Land",""))</f>
        <v>Total Land Fixed Costs</v>
      </c>
      <c r="C88" s="492"/>
      <c r="D88" s="492"/>
      <c r="E88" s="492"/>
      <c r="F88" s="492"/>
      <c r="H88" s="313">
        <f>+IF(bud_type=2,land_fc,IF(bud_type=3,land_pmt,""))</f>
        <v>45562.5</v>
      </c>
      <c r="I88" s="313">
        <f t="shared" si="17"/>
        <v>75.9375</v>
      </c>
    </row>
    <row r="89" spans="1:10">
      <c r="B89" s="492" t="str">
        <f>+IF(bud_type=2,"Overhead Costs Per Cow",IF(bud_type=3,"Existing Mortgage Payments",""))</f>
        <v>Overhead Costs Per Cow</v>
      </c>
      <c r="C89" s="492"/>
      <c r="D89" s="492"/>
      <c r="E89" s="492"/>
      <c r="F89" s="492"/>
      <c r="G89" s="203">
        <v>1</v>
      </c>
      <c r="H89" s="314">
        <f>+IF(bud_type=2,(G89*cows),IF(bud_type=3,existing_pmt,""))</f>
        <v>600</v>
      </c>
      <c r="I89" s="313">
        <f t="shared" si="17"/>
        <v>1</v>
      </c>
    </row>
    <row r="90" spans="1:10" ht="16.2" thickBot="1">
      <c r="B90" s="486" t="str">
        <f>+IF(bud_type=2,"Management Costs (% of Value of Production) 1/","")</f>
        <v>Management Costs (% of Value of Production) 1/</v>
      </c>
      <c r="C90" s="486"/>
      <c r="D90" s="486"/>
      <c r="E90" s="486"/>
      <c r="F90" s="312">
        <f>+IF(bud_type=2,total_rev,"")</f>
        <v>2876794.8</v>
      </c>
      <c r="G90" s="263">
        <v>0.04</v>
      </c>
      <c r="H90" s="315">
        <f>+IF(F90&lt;&gt;"",G90*F90,"")</f>
        <v>115071.792</v>
      </c>
      <c r="I90" s="315">
        <f>+IF(H90&lt;&gt;"",H90/cows,"")</f>
        <v>191.78631999999999</v>
      </c>
    </row>
    <row r="91" spans="1:10" ht="16.2" thickBot="1">
      <c r="B91" s="503" t="str">
        <f>+IF(bud_type=2,"Total Fixed Costs",IF(bud_type=3,"Total Payments",""))</f>
        <v>Total Fixed Costs</v>
      </c>
      <c r="C91" s="503"/>
      <c r="D91" s="503"/>
      <c r="E91" s="503"/>
      <c r="F91" s="503"/>
      <c r="G91" s="224"/>
      <c r="H91" s="316">
        <f>+SUM(H83:H90)</f>
        <v>1053230.0851344415</v>
      </c>
      <c r="I91" s="317">
        <f>SUM(I83:I90)</f>
        <v>1755.3834752240693</v>
      </c>
    </row>
    <row r="92" spans="1:10" ht="15.6" thickTop="1"/>
    <row r="93" spans="1:10">
      <c r="I93" s="210" t="s">
        <v>15</v>
      </c>
    </row>
    <row r="94" spans="1:10" ht="15.6">
      <c r="B94" s="506" t="s">
        <v>22</v>
      </c>
      <c r="C94" s="506"/>
      <c r="D94" s="506"/>
      <c r="E94" s="506"/>
      <c r="F94" s="506"/>
      <c r="G94" s="506"/>
      <c r="H94" s="506"/>
      <c r="I94" s="506"/>
      <c r="J94" s="225"/>
    </row>
    <row r="95" spans="1:10">
      <c r="A95" s="226"/>
      <c r="B95" s="308"/>
      <c r="C95" s="308"/>
      <c r="D95" s="308"/>
      <c r="E95" s="308"/>
      <c r="F95" s="308"/>
      <c r="G95" s="308"/>
      <c r="H95" s="308"/>
      <c r="I95" s="308"/>
    </row>
    <row r="96" spans="1:10" ht="15.6">
      <c r="A96" s="231" t="s">
        <v>24</v>
      </c>
      <c r="B96" s="318"/>
      <c r="C96" s="318"/>
      <c r="D96" s="318"/>
      <c r="E96" s="318"/>
      <c r="F96" s="319"/>
      <c r="G96" s="320" t="s">
        <v>9</v>
      </c>
      <c r="H96" s="321" t="s">
        <v>10</v>
      </c>
      <c r="I96" s="320" t="s">
        <v>11</v>
      </c>
    </row>
    <row r="97" spans="1:9">
      <c r="A97" s="226"/>
      <c r="B97" s="308"/>
      <c r="C97" s="308"/>
      <c r="D97" s="308"/>
      <c r="E97" s="308"/>
      <c r="F97" s="308"/>
      <c r="G97" s="308"/>
      <c r="H97" s="308"/>
      <c r="I97" s="308"/>
    </row>
    <row r="98" spans="1:9">
      <c r="A98" s="226"/>
      <c r="B98" s="308" t="s">
        <v>401</v>
      </c>
      <c r="C98" s="308"/>
      <c r="D98" s="308"/>
      <c r="E98" s="308"/>
      <c r="F98" s="308"/>
      <c r="G98" s="303">
        <f>+TOTAL_MILK_PROD</f>
        <v>114192</v>
      </c>
      <c r="H98" s="462">
        <f>+MILK_PRICE</f>
        <v>23</v>
      </c>
      <c r="I98" s="294">
        <f>G98*H98</f>
        <v>2626416</v>
      </c>
    </row>
    <row r="99" spans="1:9" ht="15.6">
      <c r="A99" s="226"/>
      <c r="B99" s="308" t="s">
        <v>25</v>
      </c>
      <c r="C99" s="308"/>
      <c r="D99" s="308"/>
      <c r="E99" s="322"/>
      <c r="F99" s="308"/>
      <c r="G99" s="303">
        <f>+bf-3.5%</f>
        <v>9.9999999999999395E-4</v>
      </c>
      <c r="H99" s="463">
        <v>0.15</v>
      </c>
      <c r="I99" s="294">
        <f>G99*1000*H99*G98</f>
        <v>17128.799999999897</v>
      </c>
    </row>
    <row r="100" spans="1:9" ht="15.6">
      <c r="A100" s="226"/>
      <c r="B100" s="308" t="s">
        <v>26</v>
      </c>
      <c r="C100" s="308"/>
      <c r="D100" s="308"/>
      <c r="E100" s="308"/>
      <c r="F100" s="308"/>
      <c r="G100" s="303">
        <f>+cull_rate*cows*(100%-death_loss)</f>
        <v>177.60000000000002</v>
      </c>
      <c r="H100" s="463">
        <f>12.5*85</f>
        <v>1062.5</v>
      </c>
      <c r="I100" s="294">
        <f>G100*H100</f>
        <v>188700.00000000003</v>
      </c>
    </row>
    <row r="101" spans="1:9" ht="15.6">
      <c r="A101" s="226"/>
      <c r="B101" s="308" t="s">
        <v>27</v>
      </c>
      <c r="C101" s="308"/>
      <c r="D101" s="308"/>
      <c r="E101" s="308"/>
      <c r="F101" s="308"/>
      <c r="G101" s="303">
        <f>ROUND((lactations-HEIFERS_RAISED)*(100%-bull_death),0)</f>
        <v>215</v>
      </c>
      <c r="H101" s="463">
        <v>150</v>
      </c>
      <c r="I101" s="294">
        <f>G101*H101</f>
        <v>32250</v>
      </c>
    </row>
    <row r="102" spans="1:9" ht="15.6">
      <c r="A102" s="226"/>
      <c r="B102" s="308" t="s">
        <v>743</v>
      </c>
      <c r="D102" s="478">
        <f>+HEIFERS_RAISED-H28</f>
        <v>41</v>
      </c>
      <c r="E102" s="203" t="s">
        <v>742</v>
      </c>
      <c r="G102" s="477">
        <v>41</v>
      </c>
      <c r="H102" s="463">
        <v>300</v>
      </c>
      <c r="I102" s="301">
        <f>G102*H102</f>
        <v>12300</v>
      </c>
    </row>
    <row r="103" spans="1:9" s="459" customFormat="1">
      <c r="A103" s="226"/>
      <c r="B103" s="460" t="s">
        <v>474</v>
      </c>
      <c r="C103" s="460"/>
      <c r="D103" s="460"/>
      <c r="E103" s="308"/>
      <c r="F103" s="308"/>
      <c r="G103" s="461">
        <v>1</v>
      </c>
      <c r="H103" s="464">
        <v>0</v>
      </c>
      <c r="I103" s="325">
        <f>+H103</f>
        <v>0</v>
      </c>
    </row>
    <row r="104" spans="1:9" s="459" customFormat="1">
      <c r="A104" s="226"/>
      <c r="B104" s="460" t="s">
        <v>709</v>
      </c>
      <c r="C104" s="460"/>
      <c r="D104" s="460"/>
      <c r="E104" s="308"/>
      <c r="F104" s="308"/>
      <c r="G104" s="461">
        <v>75000</v>
      </c>
      <c r="H104" s="464">
        <v>0</v>
      </c>
      <c r="I104" s="325">
        <f>+H104*G104</f>
        <v>0</v>
      </c>
    </row>
    <row r="105" spans="1:9">
      <c r="A105" s="226"/>
      <c r="B105" s="324" t="s">
        <v>737</v>
      </c>
      <c r="C105" s="324"/>
      <c r="D105" s="324"/>
      <c r="E105" s="308"/>
      <c r="F105" s="308"/>
      <c r="G105" s="461">
        <v>1</v>
      </c>
      <c r="H105" s="464">
        <v>0</v>
      </c>
      <c r="I105" s="325">
        <f>+H105*G105</f>
        <v>0</v>
      </c>
    </row>
    <row r="106" spans="1:9" ht="15.6">
      <c r="A106" s="226"/>
      <c r="B106" s="326" t="s">
        <v>28</v>
      </c>
      <c r="C106" s="308"/>
      <c r="D106" s="308"/>
      <c r="E106" s="308"/>
      <c r="F106" s="308"/>
      <c r="G106" s="323"/>
      <c r="H106" s="298"/>
      <c r="I106" s="327">
        <f>SUM(I98:I105)</f>
        <v>2876794.8</v>
      </c>
    </row>
    <row r="107" spans="1:9" ht="15.6">
      <c r="A107" s="214"/>
      <c r="B107" s="326"/>
      <c r="C107" s="308"/>
      <c r="D107" s="326"/>
      <c r="E107" s="326"/>
      <c r="F107" s="326"/>
      <c r="G107" s="328"/>
      <c r="H107" s="329"/>
      <c r="I107" s="308"/>
    </row>
    <row r="108" spans="1:9" ht="15.6" thickBot="1">
      <c r="A108" s="226"/>
      <c r="B108" s="330"/>
      <c r="C108" s="330"/>
      <c r="D108" s="330"/>
      <c r="E108" s="330"/>
      <c r="F108" s="330"/>
      <c r="G108" s="330"/>
      <c r="H108" s="330"/>
      <c r="I108" s="330"/>
    </row>
    <row r="109" spans="1:9" ht="15.6" thickTop="1">
      <c r="A109" s="226"/>
      <c r="B109" s="308"/>
      <c r="C109" s="308"/>
      <c r="D109" s="308"/>
      <c r="E109" s="308"/>
      <c r="F109" s="308"/>
      <c r="G109" s="308"/>
      <c r="H109" s="308"/>
      <c r="I109" s="308"/>
    </row>
    <row r="110" spans="1:9" ht="15.6">
      <c r="A110" s="226"/>
      <c r="B110" s="502" t="s">
        <v>622</v>
      </c>
      <c r="C110" s="502"/>
      <c r="D110" s="502"/>
      <c r="E110" s="502"/>
      <c r="F110" s="502"/>
      <c r="G110" s="502"/>
      <c r="H110" s="502"/>
      <c r="I110" s="502"/>
    </row>
    <row r="111" spans="1:9" ht="15.6" thickBot="1">
      <c r="A111" s="226"/>
      <c r="B111" s="310"/>
      <c r="C111" s="310"/>
      <c r="D111" s="310"/>
      <c r="E111" s="310"/>
      <c r="F111" s="310"/>
      <c r="G111" s="310"/>
      <c r="H111" s="310"/>
      <c r="I111" s="310"/>
    </row>
    <row r="112" spans="1:9" ht="15.6">
      <c r="A112" s="232"/>
      <c r="B112" s="504" t="s">
        <v>24</v>
      </c>
      <c r="C112" s="331"/>
      <c r="D112" s="331"/>
      <c r="E112" s="331"/>
      <c r="F112" s="488" t="s">
        <v>621</v>
      </c>
      <c r="G112" s="498" t="s">
        <v>620</v>
      </c>
      <c r="H112" s="500" t="s">
        <v>626</v>
      </c>
      <c r="I112" s="332"/>
    </row>
    <row r="113" spans="1:9" ht="16.2" thickBot="1">
      <c r="A113" s="231"/>
      <c r="B113" s="505"/>
      <c r="C113" s="333"/>
      <c r="D113" s="333"/>
      <c r="E113" s="333"/>
      <c r="F113" s="489"/>
      <c r="G113" s="499"/>
      <c r="H113" s="501"/>
      <c r="I113" s="332"/>
    </row>
    <row r="114" spans="1:9">
      <c r="A114" s="226"/>
      <c r="B114" s="310"/>
      <c r="C114" s="310"/>
      <c r="D114" s="310"/>
      <c r="E114" s="310"/>
      <c r="F114" s="310"/>
      <c r="G114" s="310"/>
      <c r="H114" s="310"/>
      <c r="I114" s="310"/>
    </row>
    <row r="115" spans="1:9">
      <c r="A115" s="226"/>
      <c r="B115" s="487" t="s">
        <v>30</v>
      </c>
      <c r="C115" s="487"/>
      <c r="D115" s="324"/>
      <c r="E115" s="324"/>
      <c r="F115" s="334">
        <f>+tvc_milk_production</f>
        <v>1664324.3637599996</v>
      </c>
      <c r="G115" s="335">
        <f>+F115/cows</f>
        <v>2773.8739395999992</v>
      </c>
      <c r="H115" s="335">
        <f>+F115/TOTAL_MILK_PROD</f>
        <v>14.574789510298441</v>
      </c>
      <c r="I115" s="308"/>
    </row>
    <row r="116" spans="1:9">
      <c r="A116" s="226"/>
      <c r="B116" s="487" t="s">
        <v>31</v>
      </c>
      <c r="C116" s="487"/>
      <c r="D116" s="324"/>
      <c r="E116" s="324"/>
      <c r="F116" s="334">
        <f>SUM(I100:I102)</f>
        <v>233250.00000000003</v>
      </c>
      <c r="G116" s="335">
        <f>+F116/cows</f>
        <v>388.75000000000006</v>
      </c>
      <c r="H116" s="335">
        <f>+F116/TOTAL_MILK_PROD</f>
        <v>2.0426124422026062</v>
      </c>
      <c r="I116" s="308"/>
    </row>
    <row r="117" spans="1:9" ht="16.2" thickBot="1">
      <c r="A117" s="226"/>
      <c r="B117" s="494" t="s">
        <v>366</v>
      </c>
      <c r="C117" s="494"/>
      <c r="D117" s="336"/>
      <c r="E117" s="336"/>
      <c r="F117" s="337">
        <f>F115-F116</f>
        <v>1431074.3637599996</v>
      </c>
      <c r="G117" s="338">
        <f>+F117/cows</f>
        <v>2385.1239395999992</v>
      </c>
      <c r="H117" s="338">
        <f>+F117/TOTAL_MILK_PROD</f>
        <v>12.532177068095836</v>
      </c>
      <c r="I117" s="308"/>
    </row>
    <row r="118" spans="1:9">
      <c r="B118" s="487" t="str">
        <f>+IF(bud_type&lt;&gt;1,"Total Fixed Costs","")</f>
        <v>Total Fixed Costs</v>
      </c>
      <c r="C118" s="487"/>
      <c r="D118" s="324"/>
      <c r="E118" s="324"/>
      <c r="F118" s="334">
        <f>+tfc</f>
        <v>1053230.0851344415</v>
      </c>
      <c r="G118" s="335">
        <f>+F118/cows</f>
        <v>1755.3834752240691</v>
      </c>
      <c r="H118" s="335">
        <f>+F118/TOTAL_MILK_PROD</f>
        <v>9.2233263725518562</v>
      </c>
      <c r="I118" s="308"/>
    </row>
    <row r="119" spans="1:9" ht="15.6" thickBot="1">
      <c r="B119" s="486" t="s">
        <v>329</v>
      </c>
      <c r="C119" s="486"/>
      <c r="D119" s="339"/>
      <c r="E119" s="339"/>
      <c r="F119" s="337">
        <f>+F117+F118</f>
        <v>2484304.4488944411</v>
      </c>
      <c r="G119" s="338">
        <f>+F119/cows</f>
        <v>4140.5074148240683</v>
      </c>
      <c r="H119" s="338">
        <f>+F119/TOTAL_MILK_PROD</f>
        <v>21.75550344064769</v>
      </c>
      <c r="I119" s="308"/>
    </row>
    <row r="120" spans="1:9">
      <c r="B120" s="340"/>
      <c r="C120" s="340"/>
      <c r="D120" s="340"/>
      <c r="E120" s="340"/>
      <c r="F120" s="341"/>
      <c r="G120" s="342"/>
      <c r="H120" s="342"/>
      <c r="I120" s="308"/>
    </row>
    <row r="121" spans="1:9">
      <c r="B121" s="487" t="s">
        <v>402</v>
      </c>
      <c r="C121" s="487"/>
      <c r="D121" s="324"/>
      <c r="E121" s="324"/>
      <c r="F121" s="334">
        <f>+H51+H39</f>
        <v>807646.18375999993</v>
      </c>
      <c r="G121" s="335">
        <f>+F121/cows</f>
        <v>1346.0769729333333</v>
      </c>
      <c r="H121" s="335">
        <f>+F121/TOTAL_MILK_PROD</f>
        <v>7.0727037249544624</v>
      </c>
      <c r="I121" s="308"/>
    </row>
    <row r="122" spans="1:9">
      <c r="B122" s="324"/>
      <c r="C122" s="324"/>
      <c r="D122" s="324"/>
      <c r="E122" s="324"/>
      <c r="F122" s="334"/>
      <c r="G122" s="335"/>
      <c r="H122" s="335"/>
      <c r="I122" s="308"/>
    </row>
    <row r="123" spans="1:9" ht="16.05" customHeight="1">
      <c r="B123" s="343" t="s">
        <v>623</v>
      </c>
      <c r="C123" s="343"/>
      <c r="D123" s="343"/>
      <c r="E123" s="343"/>
      <c r="F123" s="450">
        <f>+(I98+I99)-total_feed</f>
        <v>1835898.6162399999</v>
      </c>
      <c r="G123" s="344">
        <f>+F123/cows</f>
        <v>3059.8310270666666</v>
      </c>
      <c r="H123" s="344">
        <f>+F123/TOTAL_MILK_PROD</f>
        <v>16.077296275045537</v>
      </c>
      <c r="I123" s="308"/>
    </row>
    <row r="124" spans="1:9" ht="19.05" customHeight="1">
      <c r="B124" s="343" t="s">
        <v>624</v>
      </c>
      <c r="C124" s="343"/>
      <c r="D124" s="343"/>
      <c r="E124" s="343"/>
      <c r="F124" s="450">
        <f>+total_rev-F115</f>
        <v>1212470.4362400002</v>
      </c>
      <c r="G124" s="344">
        <f>+F124/cows</f>
        <v>2020.7840604000003</v>
      </c>
      <c r="H124" s="344">
        <f>+F124/TOTAL_MILK_PROD</f>
        <v>10.617822931904163</v>
      </c>
      <c r="I124" s="308"/>
    </row>
    <row r="125" spans="1:9" ht="19.95" customHeight="1">
      <c r="A125" s="226"/>
      <c r="B125" s="345" t="s">
        <v>625</v>
      </c>
      <c r="C125" s="345"/>
      <c r="D125" s="345"/>
      <c r="E125" s="345"/>
      <c r="F125" s="451">
        <f>+total_rev-F119</f>
        <v>392490.35110555869</v>
      </c>
      <c r="G125" s="346">
        <f>+F125/cows</f>
        <v>654.15058517593116</v>
      </c>
      <c r="H125" s="346">
        <f>+F125/TOTAL_MILK_PROD</f>
        <v>3.4371090015549135</v>
      </c>
      <c r="I125" s="347"/>
    </row>
    <row r="126" spans="1:9">
      <c r="A126" s="226"/>
      <c r="B126" s="310"/>
      <c r="C126" s="310"/>
      <c r="D126" s="310"/>
      <c r="E126" s="310"/>
      <c r="F126" s="310"/>
      <c r="G126" s="310"/>
      <c r="H126" s="310"/>
      <c r="I126" s="310"/>
    </row>
    <row r="127" spans="1:9" ht="15.6">
      <c r="D127" s="227"/>
    </row>
    <row r="215" spans="3:5">
      <c r="C215" s="228" t="s">
        <v>36</v>
      </c>
    </row>
    <row r="216" spans="3:5">
      <c r="C216" s="228" t="s">
        <v>37</v>
      </c>
      <c r="E216" s="229" t="s">
        <v>38</v>
      </c>
    </row>
    <row r="217" spans="3:5">
      <c r="C217" s="228" t="s">
        <v>39</v>
      </c>
      <c r="E217" s="229" t="s">
        <v>40</v>
      </c>
    </row>
    <row r="218" spans="3:5">
      <c r="C218" s="228" t="s">
        <v>29</v>
      </c>
      <c r="E218" s="229" t="s">
        <v>41</v>
      </c>
    </row>
    <row r="219" spans="3:5">
      <c r="C219" s="228" t="s">
        <v>42</v>
      </c>
      <c r="E219" s="229" t="s">
        <v>43</v>
      </c>
    </row>
    <row r="220" spans="3:5">
      <c r="C220" s="228" t="s">
        <v>44</v>
      </c>
      <c r="E220" s="229" t="s">
        <v>45</v>
      </c>
    </row>
    <row r="221" spans="3:5">
      <c r="C221" s="228" t="s">
        <v>46</v>
      </c>
      <c r="E221" s="229" t="s">
        <v>47</v>
      </c>
    </row>
    <row r="346" spans="1:9">
      <c r="A346" s="202" t="s">
        <v>0</v>
      </c>
    </row>
    <row r="347" spans="1:9">
      <c r="A347" s="202" t="s">
        <v>49</v>
      </c>
      <c r="E347" s="230" t="s">
        <v>50</v>
      </c>
      <c r="F347" s="230" t="s">
        <v>51</v>
      </c>
      <c r="H347" s="230" t="s">
        <v>48</v>
      </c>
      <c r="I347" s="203" t="s">
        <v>52</v>
      </c>
    </row>
    <row r="348" spans="1:9">
      <c r="A348" s="202" t="s">
        <v>53</v>
      </c>
      <c r="F348" s="230" t="s">
        <v>54</v>
      </c>
      <c r="H348" s="230" t="s">
        <v>48</v>
      </c>
      <c r="I348" s="203" t="s">
        <v>55</v>
      </c>
    </row>
    <row r="349" spans="1:9">
      <c r="A349" s="202" t="s">
        <v>51</v>
      </c>
      <c r="F349" s="230" t="s">
        <v>56</v>
      </c>
      <c r="H349" s="230" t="s">
        <v>48</v>
      </c>
      <c r="I349" s="203" t="s">
        <v>51</v>
      </c>
    </row>
    <row r="350" spans="1:9">
      <c r="A350" s="202" t="s">
        <v>54</v>
      </c>
      <c r="F350" s="230" t="s">
        <v>57</v>
      </c>
      <c r="H350" s="230" t="s">
        <v>48</v>
      </c>
      <c r="I350" s="203" t="s">
        <v>54</v>
      </c>
    </row>
    <row r="351" spans="1:9">
      <c r="A351" s="202" t="s">
        <v>58</v>
      </c>
      <c r="H351" s="230" t="s">
        <v>48</v>
      </c>
      <c r="I351" s="203" t="s">
        <v>58</v>
      </c>
    </row>
    <row r="352" spans="1:9">
      <c r="A352" s="202" t="s">
        <v>59</v>
      </c>
      <c r="H352" s="230" t="s">
        <v>48</v>
      </c>
      <c r="I352" s="203" t="s">
        <v>59</v>
      </c>
    </row>
    <row r="353" spans="1:9">
      <c r="A353" s="202" t="s">
        <v>60</v>
      </c>
      <c r="H353" s="230" t="s">
        <v>48</v>
      </c>
      <c r="I353" s="203" t="s">
        <v>60</v>
      </c>
    </row>
    <row r="354" spans="1:9">
      <c r="A354" s="202" t="s">
        <v>59</v>
      </c>
      <c r="H354" s="230" t="s">
        <v>48</v>
      </c>
      <c r="I354" s="203" t="s">
        <v>59</v>
      </c>
    </row>
    <row r="355" spans="1:9">
      <c r="A355" s="202" t="s">
        <v>61</v>
      </c>
      <c r="E355" s="230" t="s">
        <v>62</v>
      </c>
      <c r="G355" s="203" t="s">
        <v>54</v>
      </c>
      <c r="H355" s="230" t="s">
        <v>48</v>
      </c>
      <c r="I355" s="203" t="s">
        <v>61</v>
      </c>
    </row>
    <row r="356" spans="1:9">
      <c r="A356" s="202" t="s">
        <v>63</v>
      </c>
      <c r="G356" s="203" t="s">
        <v>64</v>
      </c>
      <c r="H356" s="230" t="s">
        <v>48</v>
      </c>
      <c r="I356" s="203" t="s">
        <v>63</v>
      </c>
    </row>
    <row r="357" spans="1:9">
      <c r="A357" s="202" t="s">
        <v>65</v>
      </c>
      <c r="H357" s="230" t="s">
        <v>48</v>
      </c>
      <c r="I357" s="203" t="s">
        <v>65</v>
      </c>
    </row>
    <row r="358" spans="1:9">
      <c r="A358" s="202" t="s">
        <v>54</v>
      </c>
      <c r="H358" s="230" t="s">
        <v>48</v>
      </c>
      <c r="I358" s="203" t="s">
        <v>54</v>
      </c>
    </row>
    <row r="359" spans="1:9">
      <c r="A359" s="202" t="s">
        <v>66</v>
      </c>
      <c r="H359" s="230" t="s">
        <v>48</v>
      </c>
      <c r="I359" s="203" t="s">
        <v>66</v>
      </c>
    </row>
    <row r="360" spans="1:9">
      <c r="A360" s="202" t="s">
        <v>54</v>
      </c>
      <c r="E360" s="230" t="s">
        <v>67</v>
      </c>
      <c r="G360" s="203" t="s">
        <v>51</v>
      </c>
      <c r="H360" s="230" t="s">
        <v>48</v>
      </c>
      <c r="I360" s="203" t="s">
        <v>54</v>
      </c>
    </row>
    <row r="361" spans="1:9">
      <c r="A361" s="202" t="s">
        <v>68</v>
      </c>
      <c r="E361" s="230" t="s">
        <v>69</v>
      </c>
      <c r="G361" s="203" t="s">
        <v>54</v>
      </c>
      <c r="H361" s="230" t="s">
        <v>48</v>
      </c>
      <c r="I361" s="203" t="s">
        <v>68</v>
      </c>
    </row>
    <row r="362" spans="1:9">
      <c r="A362" s="202" t="s">
        <v>59</v>
      </c>
      <c r="G362" s="203" t="s">
        <v>71</v>
      </c>
      <c r="H362" s="230" t="s">
        <v>48</v>
      </c>
      <c r="I362" s="203" t="s">
        <v>59</v>
      </c>
    </row>
    <row r="363" spans="1:9">
      <c r="A363" s="202" t="s">
        <v>60</v>
      </c>
      <c r="G363" s="203" t="s">
        <v>72</v>
      </c>
      <c r="H363" s="230" t="s">
        <v>48</v>
      </c>
      <c r="I363" s="203" t="s">
        <v>60</v>
      </c>
    </row>
    <row r="364" spans="1:9">
      <c r="A364" s="202" t="s">
        <v>59</v>
      </c>
      <c r="G364" s="203" t="s">
        <v>57</v>
      </c>
      <c r="H364" s="230" t="s">
        <v>48</v>
      </c>
      <c r="I364" s="203" t="s">
        <v>59</v>
      </c>
    </row>
    <row r="365" spans="1:9">
      <c r="A365" s="202" t="s">
        <v>61</v>
      </c>
      <c r="H365" s="230" t="s">
        <v>48</v>
      </c>
      <c r="I365" s="203" t="s">
        <v>61</v>
      </c>
    </row>
    <row r="366" spans="1:9">
      <c r="A366" s="202" t="s">
        <v>73</v>
      </c>
      <c r="H366" s="230" t="s">
        <v>48</v>
      </c>
      <c r="I366" s="203" t="s">
        <v>73</v>
      </c>
    </row>
    <row r="367" spans="1:9">
      <c r="A367" s="202" t="s">
        <v>74</v>
      </c>
      <c r="H367" s="230" t="s">
        <v>48</v>
      </c>
      <c r="I367" s="203" t="s">
        <v>75</v>
      </c>
    </row>
    <row r="368" spans="1:9">
      <c r="A368" s="202" t="s">
        <v>76</v>
      </c>
      <c r="H368" s="230" t="s">
        <v>48</v>
      </c>
      <c r="I368" s="203" t="s">
        <v>76</v>
      </c>
    </row>
    <row r="369" spans="1:9">
      <c r="A369" s="202" t="s">
        <v>77</v>
      </c>
      <c r="E369" s="230" t="s">
        <v>78</v>
      </c>
      <c r="G369" s="203" t="s">
        <v>51</v>
      </c>
      <c r="H369" s="230" t="s">
        <v>48</v>
      </c>
      <c r="I369" s="203" t="s">
        <v>77</v>
      </c>
    </row>
    <row r="370" spans="1:9">
      <c r="A370" s="202" t="s">
        <v>79</v>
      </c>
      <c r="E370" s="230" t="s">
        <v>80</v>
      </c>
      <c r="G370" s="203" t="s">
        <v>54</v>
      </c>
      <c r="H370" s="230" t="s">
        <v>48</v>
      </c>
      <c r="I370" s="203" t="s">
        <v>79</v>
      </c>
    </row>
    <row r="371" spans="1:9">
      <c r="A371" s="202" t="s">
        <v>81</v>
      </c>
      <c r="G371" s="203" t="s">
        <v>82</v>
      </c>
      <c r="H371" s="230" t="s">
        <v>48</v>
      </c>
      <c r="I371" s="203" t="s">
        <v>81</v>
      </c>
    </row>
    <row r="372" spans="1:9">
      <c r="A372" s="202" t="s">
        <v>54</v>
      </c>
      <c r="G372" s="203" t="s">
        <v>72</v>
      </c>
      <c r="H372" s="230" t="s">
        <v>48</v>
      </c>
      <c r="I372" s="203" t="s">
        <v>54</v>
      </c>
    </row>
    <row r="373" spans="1:9">
      <c r="A373" s="202" t="s">
        <v>83</v>
      </c>
      <c r="G373" s="203" t="s">
        <v>57</v>
      </c>
      <c r="H373" s="230" t="s">
        <v>48</v>
      </c>
      <c r="I373" s="203" t="s">
        <v>83</v>
      </c>
    </row>
    <row r="374" spans="1:9">
      <c r="A374" s="202" t="s">
        <v>59</v>
      </c>
      <c r="H374" s="230" t="s">
        <v>48</v>
      </c>
      <c r="I374" s="203" t="s">
        <v>59</v>
      </c>
    </row>
    <row r="375" spans="1:9">
      <c r="A375" s="202" t="s">
        <v>60</v>
      </c>
      <c r="H375" s="230" t="s">
        <v>48</v>
      </c>
      <c r="I375" s="203" t="s">
        <v>60</v>
      </c>
    </row>
    <row r="376" spans="1:9">
      <c r="A376" s="202" t="s">
        <v>59</v>
      </c>
      <c r="H376" s="230" t="s">
        <v>48</v>
      </c>
      <c r="I376" s="203" t="s">
        <v>59</v>
      </c>
    </row>
    <row r="377" spans="1:9">
      <c r="A377" s="202" t="s">
        <v>61</v>
      </c>
      <c r="E377" s="230" t="s">
        <v>84</v>
      </c>
      <c r="G377" s="203" t="s">
        <v>51</v>
      </c>
      <c r="H377" s="230" t="s">
        <v>48</v>
      </c>
      <c r="I377" s="203" t="s">
        <v>61</v>
      </c>
    </row>
    <row r="378" spans="1:9">
      <c r="A378" s="202" t="s">
        <v>73</v>
      </c>
      <c r="E378" s="230" t="s">
        <v>85</v>
      </c>
      <c r="G378" s="203" t="s">
        <v>54</v>
      </c>
      <c r="H378" s="230" t="s">
        <v>48</v>
      </c>
      <c r="I378" s="203" t="s">
        <v>73</v>
      </c>
    </row>
    <row r="379" spans="1:9">
      <c r="A379" s="202" t="s">
        <v>86</v>
      </c>
      <c r="G379" s="203" t="s">
        <v>56</v>
      </c>
      <c r="H379" s="230" t="s">
        <v>48</v>
      </c>
      <c r="I379" s="203" t="s">
        <v>86</v>
      </c>
    </row>
    <row r="380" spans="1:9">
      <c r="A380" s="202" t="s">
        <v>87</v>
      </c>
      <c r="G380" s="203" t="s">
        <v>72</v>
      </c>
      <c r="H380" s="230" t="s">
        <v>48</v>
      </c>
      <c r="I380" s="203" t="s">
        <v>87</v>
      </c>
    </row>
    <row r="381" spans="1:9">
      <c r="A381" s="202" t="s">
        <v>54</v>
      </c>
      <c r="G381" s="203" t="s">
        <v>57</v>
      </c>
      <c r="H381" s="230" t="s">
        <v>48</v>
      </c>
      <c r="I381" s="203" t="s">
        <v>54</v>
      </c>
    </row>
    <row r="382" spans="1:9">
      <c r="A382" s="202" t="s">
        <v>70</v>
      </c>
      <c r="H382" s="230" t="s">
        <v>48</v>
      </c>
      <c r="I382" s="203" t="s">
        <v>70</v>
      </c>
    </row>
    <row r="383" spans="1:9">
      <c r="A383" s="202" t="s">
        <v>59</v>
      </c>
      <c r="H383" s="230" t="s">
        <v>48</v>
      </c>
      <c r="I383" s="203" t="s">
        <v>59</v>
      </c>
    </row>
    <row r="384" spans="1:9">
      <c r="A384" s="202" t="s">
        <v>60</v>
      </c>
      <c r="H384" s="230" t="s">
        <v>48</v>
      </c>
      <c r="I384" s="203" t="s">
        <v>60</v>
      </c>
    </row>
    <row r="385" spans="1:9">
      <c r="A385" s="202" t="s">
        <v>59</v>
      </c>
      <c r="H385" s="230" t="s">
        <v>48</v>
      </c>
      <c r="I385" s="203" t="s">
        <v>59</v>
      </c>
    </row>
    <row r="386" spans="1:9">
      <c r="A386" s="202" t="s">
        <v>61</v>
      </c>
      <c r="H386" s="230" t="s">
        <v>48</v>
      </c>
      <c r="I386" s="203" t="s">
        <v>61</v>
      </c>
    </row>
    <row r="387" spans="1:9">
      <c r="A387" s="202" t="s">
        <v>73</v>
      </c>
      <c r="H387" s="230" t="s">
        <v>48</v>
      </c>
      <c r="I387" s="203" t="s">
        <v>73</v>
      </c>
    </row>
    <row r="388" spans="1:9">
      <c r="A388" s="202" t="s">
        <v>88</v>
      </c>
      <c r="H388" s="230" t="s">
        <v>48</v>
      </c>
      <c r="I388" s="203" t="s">
        <v>88</v>
      </c>
    </row>
    <row r="389" spans="1:9">
      <c r="A389" s="202" t="s">
        <v>87</v>
      </c>
      <c r="H389" s="230" t="s">
        <v>48</v>
      </c>
      <c r="I389" s="203" t="s">
        <v>87</v>
      </c>
    </row>
    <row r="390" spans="1:9">
      <c r="A390" s="202" t="s">
        <v>54</v>
      </c>
      <c r="H390" s="230" t="s">
        <v>48</v>
      </c>
      <c r="I390" s="203" t="s">
        <v>54</v>
      </c>
    </row>
    <row r="391" spans="1:9">
      <c r="A391" s="202" t="s">
        <v>89</v>
      </c>
      <c r="H391" s="230" t="s">
        <v>48</v>
      </c>
      <c r="I391" s="203" t="s">
        <v>89</v>
      </c>
    </row>
    <row r="392" spans="1:9">
      <c r="A392" s="202" t="s">
        <v>72</v>
      </c>
      <c r="H392" s="230" t="s">
        <v>48</v>
      </c>
      <c r="I392" s="203" t="s">
        <v>72</v>
      </c>
    </row>
    <row r="393" spans="1:9">
      <c r="A393" s="202" t="s">
        <v>92</v>
      </c>
      <c r="H393" s="230" t="s">
        <v>48</v>
      </c>
      <c r="I393" s="203" t="s">
        <v>91</v>
      </c>
    </row>
    <row r="394" spans="1:9">
      <c r="A394" s="202" t="s">
        <v>93</v>
      </c>
      <c r="H394" s="230" t="s">
        <v>48</v>
      </c>
    </row>
    <row r="395" spans="1:9">
      <c r="H395" s="230" t="s">
        <v>48</v>
      </c>
    </row>
    <row r="396" spans="1:9">
      <c r="H396" s="230" t="s">
        <v>48</v>
      </c>
    </row>
    <row r="397" spans="1:9">
      <c r="H397" s="230" t="s">
        <v>48</v>
      </c>
    </row>
    <row r="398" spans="1:9">
      <c r="A398" s="202" t="s">
        <v>0</v>
      </c>
    </row>
  </sheetData>
  <mergeCells count="66">
    <mergeCell ref="B73:D73"/>
    <mergeCell ref="B60:D60"/>
    <mergeCell ref="B59:D59"/>
    <mergeCell ref="B51:G51"/>
    <mergeCell ref="B26:G26"/>
    <mergeCell ref="B27:G27"/>
    <mergeCell ref="B83:E83"/>
    <mergeCell ref="B70:D70"/>
    <mergeCell ref="B28:G28"/>
    <mergeCell ref="B29:G29"/>
    <mergeCell ref="B21:G21"/>
    <mergeCell ref="B22:G22"/>
    <mergeCell ref="B23:G23"/>
    <mergeCell ref="B24:G24"/>
    <mergeCell ref="B25:G25"/>
    <mergeCell ref="B63:D63"/>
    <mergeCell ref="B81:I81"/>
    <mergeCell ref="B74:D74"/>
    <mergeCell ref="B71:D71"/>
    <mergeCell ref="B72:D72"/>
    <mergeCell ref="B67:D67"/>
    <mergeCell ref="B80:E80"/>
    <mergeCell ref="B17:G17"/>
    <mergeCell ref="B18:G18"/>
    <mergeCell ref="B19:G19"/>
    <mergeCell ref="B20:G20"/>
    <mergeCell ref="B8:I8"/>
    <mergeCell ref="B9:I9"/>
    <mergeCell ref="B10:I10"/>
    <mergeCell ref="B11:I11"/>
    <mergeCell ref="B12:I12"/>
    <mergeCell ref="B13:E13"/>
    <mergeCell ref="B14:F14"/>
    <mergeCell ref="B16:G16"/>
    <mergeCell ref="B1:I1"/>
    <mergeCell ref="B3:I3"/>
    <mergeCell ref="B4:I4"/>
    <mergeCell ref="B5:I5"/>
    <mergeCell ref="B7:I7"/>
    <mergeCell ref="B6:I6"/>
    <mergeCell ref="B2:I2"/>
    <mergeCell ref="G112:G113"/>
    <mergeCell ref="H112:H113"/>
    <mergeCell ref="B110:I110"/>
    <mergeCell ref="B89:F89"/>
    <mergeCell ref="B88:F88"/>
    <mergeCell ref="B90:E90"/>
    <mergeCell ref="B91:F91"/>
    <mergeCell ref="B112:B113"/>
    <mergeCell ref="B94:I94"/>
    <mergeCell ref="B119:C119"/>
    <mergeCell ref="B121:C121"/>
    <mergeCell ref="F112:F113"/>
    <mergeCell ref="B116:C116"/>
    <mergeCell ref="B33:C33"/>
    <mergeCell ref="B85:F85"/>
    <mergeCell ref="B84:F84"/>
    <mergeCell ref="B117:C117"/>
    <mergeCell ref="B118:C118"/>
    <mergeCell ref="B115:C115"/>
    <mergeCell ref="B87:F87"/>
    <mergeCell ref="B86:F86"/>
    <mergeCell ref="B50:D50"/>
    <mergeCell ref="B61:D61"/>
    <mergeCell ref="B62:D62"/>
    <mergeCell ref="B58:D58"/>
  </mergeCells>
  <phoneticPr fontId="0" type="noConversion"/>
  <dataValidations count="3">
    <dataValidation type="whole" operator="lessThanOrEqual" allowBlank="1" showInputMessage="1" showErrorMessage="1" error="Hundred weight of milk receiving a premium cannot be more that total milk production._x000d_" sqref="G104" xr:uid="{00000000-0002-0000-0200-000000000000}">
      <formula1>H20</formula1>
    </dataValidation>
    <dataValidation type="whole" allowBlank="1" showErrorMessage="1" error="This number cannot be more than the number of heifers raised." sqref="G102" xr:uid="{00000000-0002-0000-0200-000001000000}">
      <formula1>0</formula1>
      <formula2>H29</formula2>
    </dataValidation>
    <dataValidation type="whole" allowBlank="1" showInputMessage="1" showErrorMessage="1" error="The number raised cannot exceed the number of lactations." prompt="Enter the number of heifers from this calf crop you want to raise." sqref="H29" xr:uid="{00000000-0002-0000-0200-000002000000}">
      <formula1>0</formula1>
      <formula2>H18</formula2>
    </dataValidation>
  </dataValidations>
  <hyperlinks>
    <hyperlink ref="A75" location="Payroll!B4" display="Payroll Detail" xr:uid="{00000000-0004-0000-0200-000000000000}"/>
    <hyperlink ref="A82" location="Fixed_Cost!B6" display="Fixed Cost &amp; Annual Payment Detail" xr:uid="{00000000-0004-0000-0200-000001000000}"/>
    <hyperlink ref="A52" location="Corn_silage!B7" display="Corn Silage details" xr:uid="{00000000-0004-0000-0200-000002000000}"/>
    <hyperlink ref="A53" location="Sorghum_silage!B4" display="Grain Sorghum silage details" xr:uid="{00000000-0004-0000-0200-000003000000}"/>
    <hyperlink ref="A57" location="permanent_pasture!B2" display="Permanent pasture grazing details" xr:uid="{00000000-0004-0000-0200-000004000000}"/>
    <hyperlink ref="A39" location="Feed_detail!B3" display="Feeding Program Details" xr:uid="{00000000-0004-0000-0200-000005000000}"/>
    <hyperlink ref="A54" location="Winter_Silage!B4" display="Winter Annual silage details" xr:uid="{00000000-0004-0000-0200-000006000000}"/>
    <hyperlink ref="A55" location="Winter_Grazing!B4" display="Winter Annual pasture details" xr:uid="{00000000-0004-0000-0200-000007000000}"/>
    <hyperlink ref="A56" location="Winter_Grazing!B4" display="Hay Production details" xr:uid="{00000000-0004-0000-0200-000008000000}"/>
    <hyperlink ref="I21" location="Monthly_Milk!A1" display="&lt;----- to calculate a weighted average milk price click here" xr:uid="{00000000-0004-0000-0200-000009000000}"/>
  </hyperlinks>
  <pageMargins left="0.25" right="0.25" top="0.75" bottom="0.75" header="0.3" footer="0.3"/>
  <headerFooter alignWithMargins="0">
    <oddFooter>&amp;A</oddFooter>
  </headerFooter>
  <rowBreaks count="1" manualBreakCount="1">
    <brk id="80" min="1" max="8"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O112"/>
  <sheetViews>
    <sheetView zoomScale="125" zoomScaleNormal="125" zoomScalePageLayoutView="125" workbookViewId="0">
      <pane xSplit="1" ySplit="4" topLeftCell="D5" activePane="bottomRight" state="frozen"/>
      <selection pane="topRight" activeCell="B1" sqref="B1"/>
      <selection pane="bottomLeft" activeCell="A5" sqref="A5"/>
      <selection pane="bottomRight" activeCell="O84" sqref="O84"/>
    </sheetView>
  </sheetViews>
  <sheetFormatPr defaultColWidth="8.44140625" defaultRowHeight="13.2"/>
  <cols>
    <col min="1" max="1" width="0.77734375" style="1" customWidth="1"/>
    <col min="2" max="2" width="19.44140625" style="1" customWidth="1"/>
    <col min="3" max="3" width="15.77734375" style="1" customWidth="1"/>
    <col min="4" max="4" width="40.109375" style="1" customWidth="1"/>
    <col min="5" max="5" width="19" style="1" customWidth="1"/>
    <col min="6" max="6" width="13.44140625" style="1" customWidth="1"/>
    <col min="7" max="7" width="14.109375" style="1" customWidth="1"/>
    <col min="8" max="8" width="14.6640625" style="1" customWidth="1"/>
    <col min="9" max="9" width="8.44140625" style="1" customWidth="1"/>
    <col min="10" max="10" width="13.77734375" style="1" customWidth="1"/>
    <col min="11" max="11" width="11.44140625" style="1" customWidth="1"/>
    <col min="12" max="12" width="17.109375" style="1" customWidth="1"/>
    <col min="13" max="13" width="8.44140625" style="1" customWidth="1"/>
    <col min="14" max="14" width="11.109375" style="1" customWidth="1"/>
    <col min="15" max="15" width="14.109375" style="1" customWidth="1"/>
    <col min="16" max="16384" width="8.44140625" style="1"/>
  </cols>
  <sheetData>
    <row r="1" spans="2:15">
      <c r="B1" s="348"/>
      <c r="C1" s="348"/>
      <c r="D1" s="349"/>
      <c r="E1" s="348"/>
      <c r="F1" s="348"/>
      <c r="G1" s="348"/>
      <c r="H1" s="348"/>
      <c r="I1" s="348"/>
      <c r="J1" s="348"/>
      <c r="K1" s="348"/>
      <c r="L1" s="348"/>
      <c r="M1" s="348"/>
      <c r="N1" s="348"/>
      <c r="O1" s="348"/>
    </row>
    <row r="2" spans="2:15">
      <c r="B2" s="348"/>
      <c r="C2" s="348"/>
      <c r="D2" s="447"/>
      <c r="E2" s="348"/>
      <c r="F2" s="348"/>
      <c r="G2" s="348"/>
      <c r="H2" s="348"/>
      <c r="I2" s="348"/>
      <c r="J2" s="348"/>
      <c r="K2" s="348"/>
      <c r="L2" s="348"/>
      <c r="M2" s="348"/>
      <c r="N2" s="348"/>
      <c r="O2" s="348"/>
    </row>
    <row r="3" spans="2:15" ht="23.4" thickBot="1">
      <c r="B3" s="348"/>
      <c r="C3" s="541" t="s">
        <v>418</v>
      </c>
      <c r="D3" s="541"/>
      <c r="E3" s="541"/>
      <c r="F3" s="541"/>
      <c r="G3" s="541"/>
      <c r="H3" s="541"/>
      <c r="I3" s="541"/>
      <c r="J3" s="541"/>
      <c r="K3" s="541"/>
      <c r="L3" s="541"/>
      <c r="M3" s="541"/>
      <c r="N3" s="541"/>
      <c r="O3" s="541"/>
    </row>
    <row r="4" spans="2:15" ht="40.200000000000003" thickBot="1">
      <c r="B4" s="350" t="s">
        <v>364</v>
      </c>
      <c r="C4" s="542" t="s">
        <v>389</v>
      </c>
      <c r="D4" s="543"/>
      <c r="E4" s="351" t="s">
        <v>390</v>
      </c>
      <c r="F4" s="351" t="s">
        <v>391</v>
      </c>
      <c r="G4" s="351" t="s">
        <v>377</v>
      </c>
      <c r="H4" s="351" t="s">
        <v>392</v>
      </c>
      <c r="I4" s="351" t="s">
        <v>393</v>
      </c>
      <c r="J4" s="351" t="s">
        <v>394</v>
      </c>
      <c r="K4" s="351" t="s">
        <v>395</v>
      </c>
      <c r="L4" s="351" t="s">
        <v>396</v>
      </c>
      <c r="M4" s="351" t="s">
        <v>397</v>
      </c>
      <c r="N4" s="351" t="s">
        <v>398</v>
      </c>
      <c r="O4" s="352" t="s">
        <v>399</v>
      </c>
    </row>
    <row r="5" spans="2:15">
      <c r="B5" s="348"/>
      <c r="C5" s="539" t="s">
        <v>119</v>
      </c>
      <c r="D5" s="539"/>
      <c r="E5" s="348"/>
      <c r="F5" s="348"/>
      <c r="G5" s="348"/>
      <c r="H5" s="348"/>
      <c r="I5" s="348"/>
      <c r="J5" s="348"/>
      <c r="K5" s="348"/>
      <c r="L5" s="348"/>
      <c r="M5" s="348"/>
      <c r="N5" s="348"/>
      <c r="O5" s="348"/>
    </row>
    <row r="6" spans="2:15" ht="15.6">
      <c r="B6" s="348"/>
      <c r="C6" s="348" t="s">
        <v>23</v>
      </c>
      <c r="D6" s="348"/>
      <c r="E6" s="252">
        <v>600</v>
      </c>
      <c r="F6" s="261">
        <v>2250</v>
      </c>
      <c r="G6" s="353">
        <f>E6*F6</f>
        <v>1350000</v>
      </c>
      <c r="H6" s="412">
        <f>+(E6*Main!$H$100)*100%-death_loss</f>
        <v>637499.92500000005</v>
      </c>
      <c r="I6" s="354">
        <f>1/cull_rate</f>
        <v>3.125</v>
      </c>
      <c r="J6" s="355">
        <f>+(G6-H6)/I6</f>
        <v>228000.02399999998</v>
      </c>
      <c r="K6" s="449">
        <v>0</v>
      </c>
      <c r="L6" s="357">
        <f>+K6*G6</f>
        <v>0</v>
      </c>
      <c r="M6" s="256">
        <v>0.06</v>
      </c>
      <c r="N6" s="253">
        <v>5</v>
      </c>
      <c r="O6" s="358">
        <f>-PMT(M6,N6,L6)</f>
        <v>0</v>
      </c>
    </row>
    <row r="7" spans="2:15" ht="15.6">
      <c r="B7" s="348"/>
      <c r="C7" s="348" t="s">
        <v>473</v>
      </c>
      <c r="D7" s="348"/>
      <c r="E7" s="252">
        <f>+Main!H28</f>
        <v>309</v>
      </c>
      <c r="F7" s="261">
        <v>2500</v>
      </c>
      <c r="G7" s="353">
        <f>E7*F7</f>
        <v>772500</v>
      </c>
      <c r="H7" s="412">
        <f>+(E7*Main!$H$100)*100%-death_loss</f>
        <v>328312.42499999999</v>
      </c>
      <c r="I7" s="354">
        <f>(1/cull_rate)+1</f>
        <v>4.125</v>
      </c>
      <c r="J7" s="355">
        <f>+(G7-H7)/I7</f>
        <v>107681.83636363636</v>
      </c>
      <c r="K7" s="449">
        <v>0</v>
      </c>
      <c r="L7" s="357">
        <f>+K7*G7</f>
        <v>0</v>
      </c>
      <c r="M7" s="256">
        <v>0.06</v>
      </c>
      <c r="N7" s="253">
        <v>5</v>
      </c>
      <c r="O7" s="358">
        <f>-PMT(M7,N7,L7)</f>
        <v>0</v>
      </c>
    </row>
    <row r="8" spans="2:15" ht="15.6">
      <c r="B8" s="348"/>
      <c r="C8" s="348" t="s">
        <v>472</v>
      </c>
      <c r="D8" s="348"/>
      <c r="E8" s="252">
        <v>0</v>
      </c>
      <c r="F8" s="261">
        <v>1350</v>
      </c>
      <c r="G8" s="353">
        <f>E8*F8</f>
        <v>0</v>
      </c>
      <c r="H8" s="261">
        <f>G8</f>
        <v>0</v>
      </c>
      <c r="I8" s="355" t="s">
        <v>15</v>
      </c>
      <c r="J8" s="355" t="s">
        <v>15</v>
      </c>
      <c r="K8" s="449">
        <v>0</v>
      </c>
      <c r="L8" s="357">
        <f>+K8*G8</f>
        <v>0</v>
      </c>
      <c r="M8" s="256">
        <v>0.06</v>
      </c>
      <c r="N8" s="253">
        <v>5</v>
      </c>
      <c r="O8" s="358">
        <f>-PMT(M8,N8,L8)</f>
        <v>0</v>
      </c>
    </row>
    <row r="9" spans="2:15" ht="16.2" thickBot="1">
      <c r="B9" s="348"/>
      <c r="C9" s="348" t="s">
        <v>471</v>
      </c>
      <c r="D9" s="348"/>
      <c r="E9" s="252">
        <v>0</v>
      </c>
      <c r="F9" s="261">
        <v>850</v>
      </c>
      <c r="G9" s="353">
        <f>E9*F9</f>
        <v>0</v>
      </c>
      <c r="H9" s="261">
        <f>G9</f>
        <v>0</v>
      </c>
      <c r="I9" s="355" t="s">
        <v>15</v>
      </c>
      <c r="J9" s="355" t="s">
        <v>15</v>
      </c>
      <c r="K9" s="449">
        <v>0</v>
      </c>
      <c r="L9" s="357">
        <f>+K9*G9</f>
        <v>0</v>
      </c>
      <c r="M9" s="256">
        <v>0.06</v>
      </c>
      <c r="N9" s="253">
        <v>5</v>
      </c>
      <c r="O9" s="358">
        <f>-PMT(M9,N9,L9)</f>
        <v>0</v>
      </c>
    </row>
    <row r="10" spans="2:15" ht="13.8" thickBot="1">
      <c r="B10" s="348"/>
      <c r="C10" s="535" t="s">
        <v>336</v>
      </c>
      <c r="D10" s="536"/>
      <c r="E10" s="359"/>
      <c r="F10" s="360"/>
      <c r="G10" s="361">
        <f>+SUM(G6:G9)</f>
        <v>2122500</v>
      </c>
      <c r="H10" s="360"/>
      <c r="I10" s="360"/>
      <c r="J10" s="362">
        <f>+SUM(J6:J9)</f>
        <v>335681.86036363634</v>
      </c>
      <c r="K10" s="363"/>
      <c r="L10" s="364">
        <f>+SUM(L6:L9)</f>
        <v>0</v>
      </c>
      <c r="M10" s="363"/>
      <c r="N10" s="363"/>
      <c r="O10" s="365">
        <f>SUM(O6:O9)</f>
        <v>0</v>
      </c>
    </row>
    <row r="11" spans="2:15">
      <c r="B11" s="348"/>
      <c r="C11" s="366"/>
      <c r="D11" s="366"/>
      <c r="E11" s="367"/>
      <c r="F11" s="368"/>
      <c r="G11" s="369"/>
      <c r="H11" s="368"/>
      <c r="I11" s="368"/>
      <c r="J11" s="368"/>
      <c r="K11" s="348"/>
      <c r="L11" s="348"/>
      <c r="M11" s="348"/>
      <c r="N11" s="348"/>
      <c r="O11" s="348"/>
    </row>
    <row r="12" spans="2:15">
      <c r="B12" s="348"/>
      <c r="C12" s="539" t="s">
        <v>334</v>
      </c>
      <c r="D12" s="539"/>
      <c r="E12" s="367"/>
      <c r="F12" s="368"/>
      <c r="G12" s="369"/>
      <c r="H12" s="368"/>
      <c r="I12" s="368"/>
      <c r="J12" s="368"/>
      <c r="K12" s="348"/>
      <c r="L12" s="348"/>
      <c r="M12" s="348"/>
      <c r="N12" s="348"/>
      <c r="O12" s="348"/>
    </row>
    <row r="13" spans="2:15" ht="15.6">
      <c r="B13" s="348"/>
      <c r="C13" s="447" t="s">
        <v>461</v>
      </c>
      <c r="D13" s="447"/>
      <c r="E13" s="348"/>
      <c r="F13" s="353"/>
      <c r="G13" s="261">
        <v>90000</v>
      </c>
      <c r="H13" s="255">
        <f>+G13*0.2</f>
        <v>18000</v>
      </c>
      <c r="I13" s="262">
        <v>20</v>
      </c>
      <c r="J13" s="353">
        <f t="shared" ref="J13:J27" si="0">G13/I13</f>
        <v>4500</v>
      </c>
      <c r="K13" s="256">
        <v>0.5</v>
      </c>
      <c r="L13" s="357">
        <f t="shared" ref="L13:L27" si="1">+K13*G13</f>
        <v>45000</v>
      </c>
      <c r="M13" s="256">
        <v>0.06</v>
      </c>
      <c r="N13" s="253">
        <v>20</v>
      </c>
      <c r="O13" s="358">
        <f t="shared" ref="O13:O27" si="2">-PMT(M13,N13,L13)</f>
        <v>3923.3050639583153</v>
      </c>
    </row>
    <row r="14" spans="2:15" ht="15.6">
      <c r="B14" s="348"/>
      <c r="C14" s="447" t="s">
        <v>665</v>
      </c>
      <c r="D14" s="447"/>
      <c r="E14" s="348"/>
      <c r="F14" s="353"/>
      <c r="G14" s="261">
        <v>550000</v>
      </c>
      <c r="H14" s="255">
        <f t="shared" ref="H14:H27" si="3">+G14*0.2</f>
        <v>110000</v>
      </c>
      <c r="I14" s="262">
        <v>15</v>
      </c>
      <c r="J14" s="353">
        <f t="shared" si="0"/>
        <v>36666.666666666664</v>
      </c>
      <c r="K14" s="256">
        <v>0.5</v>
      </c>
      <c r="L14" s="357">
        <f t="shared" si="1"/>
        <v>275000</v>
      </c>
      <c r="M14" s="256">
        <v>0.06</v>
      </c>
      <c r="N14" s="253">
        <v>20</v>
      </c>
      <c r="O14" s="358">
        <f t="shared" si="2"/>
        <v>23975.75316863415</v>
      </c>
    </row>
    <row r="15" spans="2:15" ht="15.6">
      <c r="B15" s="348"/>
      <c r="C15" s="447" t="s">
        <v>664</v>
      </c>
      <c r="D15" s="447"/>
      <c r="E15" s="348"/>
      <c r="F15" s="353"/>
      <c r="G15" s="261">
        <v>200000</v>
      </c>
      <c r="H15" s="255">
        <f t="shared" si="3"/>
        <v>40000</v>
      </c>
      <c r="I15" s="262">
        <v>10</v>
      </c>
      <c r="J15" s="353">
        <f t="shared" si="0"/>
        <v>20000</v>
      </c>
      <c r="K15" s="256">
        <v>0.5</v>
      </c>
      <c r="L15" s="357">
        <f t="shared" si="1"/>
        <v>100000</v>
      </c>
      <c r="M15" s="256">
        <v>0.06</v>
      </c>
      <c r="N15" s="253">
        <v>10</v>
      </c>
      <c r="O15" s="358">
        <f t="shared" si="2"/>
        <v>13586.795822038383</v>
      </c>
    </row>
    <row r="16" spans="2:15" ht="15.6">
      <c r="B16" s="348"/>
      <c r="C16" s="447" t="s">
        <v>100</v>
      </c>
      <c r="D16" s="447"/>
      <c r="E16" s="348"/>
      <c r="F16" s="353"/>
      <c r="G16" s="261">
        <v>150000</v>
      </c>
      <c r="H16" s="255">
        <f t="shared" si="3"/>
        <v>30000</v>
      </c>
      <c r="I16" s="262">
        <v>20</v>
      </c>
      <c r="J16" s="353">
        <f t="shared" si="0"/>
        <v>7500</v>
      </c>
      <c r="K16" s="256">
        <v>0.5</v>
      </c>
      <c r="L16" s="357">
        <f t="shared" si="1"/>
        <v>75000</v>
      </c>
      <c r="M16" s="256">
        <v>0.06</v>
      </c>
      <c r="N16" s="253">
        <v>20</v>
      </c>
      <c r="O16" s="358">
        <f t="shared" si="2"/>
        <v>6538.8417732638582</v>
      </c>
    </row>
    <row r="17" spans="2:15" ht="15.6">
      <c r="B17" s="348"/>
      <c r="C17" s="447" t="s">
        <v>462</v>
      </c>
      <c r="D17" s="447"/>
      <c r="E17" s="371" t="s">
        <v>15</v>
      </c>
      <c r="F17" s="355" t="s">
        <v>15</v>
      </c>
      <c r="G17" s="261">
        <v>35000</v>
      </c>
      <c r="H17" s="255">
        <f t="shared" si="3"/>
        <v>7000</v>
      </c>
      <c r="I17" s="262">
        <v>15</v>
      </c>
      <c r="J17" s="353">
        <f t="shared" si="0"/>
        <v>2333.3333333333335</v>
      </c>
      <c r="K17" s="256">
        <v>0.5</v>
      </c>
      <c r="L17" s="357">
        <f t="shared" si="1"/>
        <v>17500</v>
      </c>
      <c r="M17" s="256">
        <v>0.06</v>
      </c>
      <c r="N17" s="253">
        <v>10</v>
      </c>
      <c r="O17" s="358">
        <f t="shared" si="2"/>
        <v>2377.6892688567173</v>
      </c>
    </row>
    <row r="18" spans="2:15" ht="15.6">
      <c r="B18" s="348"/>
      <c r="C18" s="447" t="s">
        <v>320</v>
      </c>
      <c r="D18" s="447"/>
      <c r="E18" s="371" t="s">
        <v>15</v>
      </c>
      <c r="F18" s="355" t="s">
        <v>15</v>
      </c>
      <c r="G18" s="261">
        <v>70000</v>
      </c>
      <c r="H18" s="255">
        <f t="shared" si="3"/>
        <v>14000</v>
      </c>
      <c r="I18" s="262">
        <v>15</v>
      </c>
      <c r="J18" s="353">
        <f t="shared" si="0"/>
        <v>4666.666666666667</v>
      </c>
      <c r="K18" s="256">
        <v>0.5</v>
      </c>
      <c r="L18" s="357">
        <f t="shared" si="1"/>
        <v>35000</v>
      </c>
      <c r="M18" s="256">
        <v>0.06</v>
      </c>
      <c r="N18" s="253">
        <v>10</v>
      </c>
      <c r="O18" s="358">
        <f t="shared" si="2"/>
        <v>4755.3785377134345</v>
      </c>
    </row>
    <row r="19" spans="2:15" ht="15.6">
      <c r="B19" s="348"/>
      <c r="C19" s="447" t="s">
        <v>102</v>
      </c>
      <c r="D19" s="447"/>
      <c r="E19" s="371" t="s">
        <v>15</v>
      </c>
      <c r="F19" s="355" t="s">
        <v>15</v>
      </c>
      <c r="G19" s="261">
        <v>24000</v>
      </c>
      <c r="H19" s="255">
        <f t="shared" si="3"/>
        <v>4800</v>
      </c>
      <c r="I19" s="262">
        <v>20</v>
      </c>
      <c r="J19" s="353">
        <f t="shared" si="0"/>
        <v>1200</v>
      </c>
      <c r="K19" s="256">
        <v>0.5</v>
      </c>
      <c r="L19" s="357">
        <f t="shared" si="1"/>
        <v>12000</v>
      </c>
      <c r="M19" s="256">
        <v>0.06</v>
      </c>
      <c r="N19" s="253">
        <v>15</v>
      </c>
      <c r="O19" s="358">
        <f t="shared" si="2"/>
        <v>1235.5531674637525</v>
      </c>
    </row>
    <row r="20" spans="2:15" ht="15.6">
      <c r="B20" s="348"/>
      <c r="C20" s="447" t="s">
        <v>369</v>
      </c>
      <c r="D20" s="447"/>
      <c r="E20" s="371"/>
      <c r="F20" s="353"/>
      <c r="G20" s="261">
        <v>120000</v>
      </c>
      <c r="H20" s="255">
        <f t="shared" si="3"/>
        <v>24000</v>
      </c>
      <c r="I20" s="262">
        <v>15</v>
      </c>
      <c r="J20" s="353">
        <f t="shared" si="0"/>
        <v>8000</v>
      </c>
      <c r="K20" s="256">
        <v>0.5</v>
      </c>
      <c r="L20" s="357">
        <f t="shared" si="1"/>
        <v>60000</v>
      </c>
      <c r="M20" s="256">
        <v>0.06</v>
      </c>
      <c r="N20" s="253">
        <v>10</v>
      </c>
      <c r="O20" s="358">
        <f t="shared" si="2"/>
        <v>8152.0774932230306</v>
      </c>
    </row>
    <row r="21" spans="2:15" ht="15.6">
      <c r="B21" s="348"/>
      <c r="C21" s="447" t="s">
        <v>104</v>
      </c>
      <c r="D21" s="447"/>
      <c r="E21" s="371" t="s">
        <v>15</v>
      </c>
      <c r="F21" s="355" t="s">
        <v>15</v>
      </c>
      <c r="G21" s="261">
        <v>65000</v>
      </c>
      <c r="H21" s="255">
        <f t="shared" si="3"/>
        <v>13000</v>
      </c>
      <c r="I21" s="262">
        <v>15</v>
      </c>
      <c r="J21" s="353">
        <f t="shared" si="0"/>
        <v>4333.333333333333</v>
      </c>
      <c r="K21" s="256">
        <v>0.5</v>
      </c>
      <c r="L21" s="357">
        <f t="shared" si="1"/>
        <v>32500</v>
      </c>
      <c r="M21" s="256">
        <v>0.06</v>
      </c>
      <c r="N21" s="253">
        <v>10</v>
      </c>
      <c r="O21" s="358">
        <f t="shared" si="2"/>
        <v>4415.7086421624754</v>
      </c>
    </row>
    <row r="22" spans="2:15" ht="15.6">
      <c r="B22" s="348"/>
      <c r="C22" s="447" t="s">
        <v>105</v>
      </c>
      <c r="D22" s="447"/>
      <c r="E22" s="348"/>
      <c r="F22" s="355" t="s">
        <v>15</v>
      </c>
      <c r="G22" s="261">
        <v>85000</v>
      </c>
      <c r="H22" s="255">
        <f t="shared" si="3"/>
        <v>17000</v>
      </c>
      <c r="I22" s="262">
        <v>20</v>
      </c>
      <c r="J22" s="353">
        <f t="shared" si="0"/>
        <v>4250</v>
      </c>
      <c r="K22" s="256">
        <v>0.5</v>
      </c>
      <c r="L22" s="357">
        <f t="shared" si="1"/>
        <v>42500</v>
      </c>
      <c r="M22" s="256">
        <v>0.06</v>
      </c>
      <c r="N22" s="253">
        <v>15</v>
      </c>
      <c r="O22" s="358">
        <f t="shared" si="2"/>
        <v>4375.9174681007898</v>
      </c>
    </row>
    <row r="23" spans="2:15" ht="15.6">
      <c r="B23" s="348"/>
      <c r="C23" s="447" t="s">
        <v>106</v>
      </c>
      <c r="D23" s="447"/>
      <c r="E23" s="348"/>
      <c r="F23" s="355" t="s">
        <v>15</v>
      </c>
      <c r="G23" s="261">
        <v>60000</v>
      </c>
      <c r="H23" s="255">
        <f t="shared" ref="H23:H24" si="4">+G23*0.2</f>
        <v>12000</v>
      </c>
      <c r="I23" s="262">
        <v>5</v>
      </c>
      <c r="J23" s="353">
        <f t="shared" ref="J23:J24" si="5">G23/I23</f>
        <v>12000</v>
      </c>
      <c r="K23" s="256">
        <v>0.5</v>
      </c>
      <c r="L23" s="357">
        <f t="shared" ref="L23:L24" si="6">+K23*G23</f>
        <v>30000</v>
      </c>
      <c r="M23" s="256">
        <v>0.06</v>
      </c>
      <c r="N23" s="253">
        <v>5</v>
      </c>
      <c r="O23" s="358">
        <f t="shared" ref="O23:O24" si="7">-PMT(M23,N23,L23)</f>
        <v>7121.8920129356884</v>
      </c>
    </row>
    <row r="24" spans="2:15" ht="15.6">
      <c r="B24" s="348"/>
      <c r="C24" s="447" t="s">
        <v>478</v>
      </c>
      <c r="D24" s="447"/>
      <c r="E24" s="348"/>
      <c r="F24" s="355" t="s">
        <v>15</v>
      </c>
      <c r="G24" s="261">
        <v>10000</v>
      </c>
      <c r="H24" s="255">
        <f t="shared" si="4"/>
        <v>2000</v>
      </c>
      <c r="I24" s="262">
        <v>5</v>
      </c>
      <c r="J24" s="353">
        <f t="shared" si="5"/>
        <v>2000</v>
      </c>
      <c r="K24" s="256">
        <v>0.5</v>
      </c>
      <c r="L24" s="357">
        <f t="shared" si="6"/>
        <v>5000</v>
      </c>
      <c r="M24" s="256">
        <v>0.06</v>
      </c>
      <c r="N24" s="253">
        <v>5</v>
      </c>
      <c r="O24" s="358">
        <f t="shared" si="7"/>
        <v>1186.9820021559481</v>
      </c>
    </row>
    <row r="25" spans="2:15" ht="15.6">
      <c r="B25" s="348"/>
      <c r="C25" s="447" t="s">
        <v>479</v>
      </c>
      <c r="D25" s="447"/>
      <c r="E25" s="348"/>
      <c r="F25" s="355" t="s">
        <v>15</v>
      </c>
      <c r="G25" s="261">
        <v>50000</v>
      </c>
      <c r="H25" s="255">
        <f t="shared" si="3"/>
        <v>10000</v>
      </c>
      <c r="I25" s="262">
        <v>5</v>
      </c>
      <c r="J25" s="353">
        <f t="shared" si="0"/>
        <v>10000</v>
      </c>
      <c r="K25" s="256">
        <v>0.5</v>
      </c>
      <c r="L25" s="357">
        <f t="shared" si="1"/>
        <v>25000</v>
      </c>
      <c r="M25" s="256">
        <v>0.06</v>
      </c>
      <c r="N25" s="253">
        <v>5</v>
      </c>
      <c r="O25" s="358">
        <f t="shared" si="2"/>
        <v>5934.9100107797403</v>
      </c>
    </row>
    <row r="26" spans="2:15" ht="15.6">
      <c r="B26" s="348"/>
      <c r="C26" s="532" t="s">
        <v>348</v>
      </c>
      <c r="D26" s="532"/>
      <c r="E26" s="348"/>
      <c r="F26" s="355" t="s">
        <v>15</v>
      </c>
      <c r="G26" s="261">
        <v>0</v>
      </c>
      <c r="H26" s="255">
        <f t="shared" si="3"/>
        <v>0</v>
      </c>
      <c r="I26" s="262">
        <v>15</v>
      </c>
      <c r="J26" s="353">
        <f t="shared" si="0"/>
        <v>0</v>
      </c>
      <c r="K26" s="256">
        <v>0.5</v>
      </c>
      <c r="L26" s="357">
        <f t="shared" si="1"/>
        <v>0</v>
      </c>
      <c r="M26" s="256">
        <v>0.06</v>
      </c>
      <c r="N26" s="253">
        <v>10</v>
      </c>
      <c r="O26" s="358">
        <f t="shared" si="2"/>
        <v>0</v>
      </c>
    </row>
    <row r="27" spans="2:15" ht="16.2" thickBot="1">
      <c r="B27" s="348"/>
      <c r="C27" s="532" t="s">
        <v>348</v>
      </c>
      <c r="D27" s="532"/>
      <c r="E27" s="348"/>
      <c r="F27" s="355" t="s">
        <v>15</v>
      </c>
      <c r="G27" s="261">
        <v>0</v>
      </c>
      <c r="H27" s="255">
        <f t="shared" si="3"/>
        <v>0</v>
      </c>
      <c r="I27" s="262">
        <v>15</v>
      </c>
      <c r="J27" s="353">
        <f t="shared" si="0"/>
        <v>0</v>
      </c>
      <c r="K27" s="256">
        <v>0.5</v>
      </c>
      <c r="L27" s="357">
        <f t="shared" si="1"/>
        <v>0</v>
      </c>
      <c r="M27" s="256">
        <v>0.06</v>
      </c>
      <c r="N27" s="253">
        <v>10</v>
      </c>
      <c r="O27" s="358">
        <f t="shared" si="2"/>
        <v>0</v>
      </c>
    </row>
    <row r="28" spans="2:15" ht="13.8" thickBot="1">
      <c r="B28" s="348"/>
      <c r="C28" s="372" t="s">
        <v>340</v>
      </c>
      <c r="D28" s="373"/>
      <c r="E28" s="374"/>
      <c r="F28" s="375"/>
      <c r="G28" s="362">
        <f>+SUM(G13:G25)</f>
        <v>1509000</v>
      </c>
      <c r="H28" s="376">
        <f>+SUM(H13:H25)</f>
        <v>301800</v>
      </c>
      <c r="I28" s="377"/>
      <c r="J28" s="362">
        <f>+SUM(J13:J25)</f>
        <v>117449.99999999999</v>
      </c>
      <c r="K28" s="363"/>
      <c r="L28" s="378">
        <f>+SUM(L13:L25)</f>
        <v>754500</v>
      </c>
      <c r="M28" s="363"/>
      <c r="N28" s="363"/>
      <c r="O28" s="379">
        <f>+SUM(O13:O25)</f>
        <v>87580.804431286262</v>
      </c>
    </row>
    <row r="29" spans="2:15">
      <c r="B29" s="348"/>
      <c r="C29" s="348"/>
      <c r="D29" s="348"/>
      <c r="E29" s="348"/>
      <c r="F29" s="348"/>
      <c r="G29" s="348"/>
      <c r="H29" s="357"/>
      <c r="I29" s="380"/>
      <c r="J29" s="348"/>
      <c r="K29" s="348"/>
      <c r="L29" s="348"/>
      <c r="M29" s="348"/>
      <c r="N29" s="348"/>
      <c r="O29" s="348"/>
    </row>
    <row r="30" spans="2:15">
      <c r="B30" s="348"/>
      <c r="C30" s="539" t="s">
        <v>335</v>
      </c>
      <c r="D30" s="539"/>
      <c r="E30" s="367"/>
      <c r="F30" s="368"/>
      <c r="G30" s="369"/>
      <c r="H30" s="368"/>
      <c r="I30" s="368"/>
      <c r="J30" s="368"/>
      <c r="K30" s="348"/>
      <c r="L30" s="348"/>
      <c r="M30" s="348"/>
      <c r="N30" s="348"/>
      <c r="O30" s="348"/>
    </row>
    <row r="31" spans="2:15" ht="15.6">
      <c r="B31" s="348"/>
      <c r="C31" s="531" t="s">
        <v>404</v>
      </c>
      <c r="D31" s="531"/>
      <c r="E31" s="348"/>
      <c r="F31" s="353"/>
      <c r="G31" s="261">
        <v>66000</v>
      </c>
      <c r="H31" s="255">
        <f t="shared" ref="H31:H42" si="8">+G31*0.2</f>
        <v>13200</v>
      </c>
      <c r="I31" s="262">
        <v>20</v>
      </c>
      <c r="J31" s="353">
        <f t="shared" ref="J31:J42" si="9">G31/I31</f>
        <v>3300</v>
      </c>
      <c r="K31" s="256">
        <v>0.5</v>
      </c>
      <c r="L31" s="357">
        <f t="shared" ref="L31:L42" si="10">+K31*G31</f>
        <v>33000</v>
      </c>
      <c r="M31" s="256">
        <v>0.06</v>
      </c>
      <c r="N31" s="253">
        <v>10</v>
      </c>
      <c r="O31" s="358">
        <f t="shared" ref="O31:O42" si="11">-PMT(M31,N31,L31)</f>
        <v>4483.6426212726665</v>
      </c>
    </row>
    <row r="32" spans="2:15" ht="15.6">
      <c r="B32" s="348"/>
      <c r="C32" s="531" t="s">
        <v>405</v>
      </c>
      <c r="D32" s="531"/>
      <c r="E32" s="348"/>
      <c r="F32" s="353"/>
      <c r="G32" s="261">
        <v>28520</v>
      </c>
      <c r="H32" s="255">
        <f t="shared" si="8"/>
        <v>5704</v>
      </c>
      <c r="I32" s="262">
        <v>20</v>
      </c>
      <c r="J32" s="353">
        <f t="shared" si="9"/>
        <v>1426</v>
      </c>
      <c r="K32" s="256">
        <v>0.5</v>
      </c>
      <c r="L32" s="357">
        <f t="shared" si="10"/>
        <v>14260</v>
      </c>
      <c r="M32" s="256">
        <v>0.06</v>
      </c>
      <c r="N32" s="253">
        <v>10</v>
      </c>
      <c r="O32" s="358">
        <f t="shared" si="11"/>
        <v>1937.4770842226735</v>
      </c>
    </row>
    <row r="33" spans="2:15" ht="15.6">
      <c r="B33" s="348"/>
      <c r="C33" s="531" t="s">
        <v>370</v>
      </c>
      <c r="D33" s="531"/>
      <c r="E33" s="348"/>
      <c r="F33" s="353"/>
      <c r="G33" s="261">
        <v>0</v>
      </c>
      <c r="H33" s="255">
        <f t="shared" si="8"/>
        <v>0</v>
      </c>
      <c r="I33" s="262">
        <v>20</v>
      </c>
      <c r="J33" s="353">
        <f t="shared" si="9"/>
        <v>0</v>
      </c>
      <c r="K33" s="256">
        <v>0.5</v>
      </c>
      <c r="L33" s="357">
        <f t="shared" si="10"/>
        <v>0</v>
      </c>
      <c r="M33" s="256">
        <v>0.06</v>
      </c>
      <c r="N33" s="253">
        <v>10</v>
      </c>
      <c r="O33" s="358">
        <f t="shared" si="11"/>
        <v>0</v>
      </c>
    </row>
    <row r="34" spans="2:15" ht="15.6">
      <c r="B34" s="348"/>
      <c r="C34" s="531" t="s">
        <v>352</v>
      </c>
      <c r="D34" s="531"/>
      <c r="E34" s="348"/>
      <c r="F34" s="353"/>
      <c r="G34" s="261">
        <v>0</v>
      </c>
      <c r="H34" s="255">
        <f t="shared" si="8"/>
        <v>0</v>
      </c>
      <c r="I34" s="262">
        <v>10</v>
      </c>
      <c r="J34" s="353">
        <f t="shared" si="9"/>
        <v>0</v>
      </c>
      <c r="K34" s="256">
        <v>0.5</v>
      </c>
      <c r="L34" s="357">
        <f t="shared" si="10"/>
        <v>0</v>
      </c>
      <c r="M34" s="256">
        <v>0.06</v>
      </c>
      <c r="N34" s="253">
        <v>10</v>
      </c>
      <c r="O34" s="358">
        <f t="shared" si="11"/>
        <v>0</v>
      </c>
    </row>
    <row r="35" spans="2:15" ht="15.6">
      <c r="B35" s="348"/>
      <c r="C35" s="531" t="s">
        <v>353</v>
      </c>
      <c r="D35" s="531"/>
      <c r="E35" s="371" t="s">
        <v>15</v>
      </c>
      <c r="F35" s="355" t="s">
        <v>15</v>
      </c>
      <c r="G35" s="261">
        <v>15000</v>
      </c>
      <c r="H35" s="255">
        <f t="shared" si="8"/>
        <v>3000</v>
      </c>
      <c r="I35" s="262">
        <v>7</v>
      </c>
      <c r="J35" s="353">
        <f t="shared" si="9"/>
        <v>2142.8571428571427</v>
      </c>
      <c r="K35" s="256">
        <v>0.5</v>
      </c>
      <c r="L35" s="357">
        <f t="shared" si="10"/>
        <v>7500</v>
      </c>
      <c r="M35" s="256">
        <v>0.06</v>
      </c>
      <c r="N35" s="253">
        <v>10</v>
      </c>
      <c r="O35" s="358">
        <f t="shared" si="11"/>
        <v>1019.0096866528788</v>
      </c>
    </row>
    <row r="36" spans="2:15" ht="15.6">
      <c r="B36" s="348"/>
      <c r="C36" s="531" t="s">
        <v>354</v>
      </c>
      <c r="D36" s="531"/>
      <c r="E36" s="371" t="s">
        <v>15</v>
      </c>
      <c r="F36" s="355" t="s">
        <v>15</v>
      </c>
      <c r="G36" s="261">
        <v>20000</v>
      </c>
      <c r="H36" s="255">
        <f t="shared" si="8"/>
        <v>4000</v>
      </c>
      <c r="I36" s="262">
        <v>10</v>
      </c>
      <c r="J36" s="353">
        <f t="shared" si="9"/>
        <v>2000</v>
      </c>
      <c r="K36" s="256">
        <v>0.5</v>
      </c>
      <c r="L36" s="357">
        <f t="shared" si="10"/>
        <v>10000</v>
      </c>
      <c r="M36" s="256">
        <v>0.06</v>
      </c>
      <c r="N36" s="253">
        <v>10</v>
      </c>
      <c r="O36" s="358">
        <f t="shared" si="11"/>
        <v>1358.6795822038382</v>
      </c>
    </row>
    <row r="37" spans="2:15" ht="15.6">
      <c r="B37" s="348"/>
      <c r="C37" s="531" t="s">
        <v>371</v>
      </c>
      <c r="D37" s="531"/>
      <c r="E37" s="371" t="s">
        <v>15</v>
      </c>
      <c r="F37" s="355" t="s">
        <v>15</v>
      </c>
      <c r="G37" s="261">
        <v>20000</v>
      </c>
      <c r="H37" s="255">
        <f t="shared" si="8"/>
        <v>4000</v>
      </c>
      <c r="I37" s="262">
        <v>10</v>
      </c>
      <c r="J37" s="353">
        <f t="shared" si="9"/>
        <v>2000</v>
      </c>
      <c r="K37" s="256">
        <v>0.5</v>
      </c>
      <c r="L37" s="357">
        <f t="shared" si="10"/>
        <v>10000</v>
      </c>
      <c r="M37" s="256">
        <v>0.06</v>
      </c>
      <c r="N37" s="253">
        <v>10</v>
      </c>
      <c r="O37" s="358">
        <f t="shared" si="11"/>
        <v>1358.6795822038382</v>
      </c>
    </row>
    <row r="38" spans="2:15" ht="15.6">
      <c r="B38" s="348"/>
      <c r="C38" s="531" t="s">
        <v>372</v>
      </c>
      <c r="D38" s="531"/>
      <c r="E38" s="371"/>
      <c r="F38" s="353"/>
      <c r="G38" s="261">
        <v>400000</v>
      </c>
      <c r="H38" s="255">
        <f t="shared" si="8"/>
        <v>80000</v>
      </c>
      <c r="I38" s="262">
        <v>15</v>
      </c>
      <c r="J38" s="353">
        <f t="shared" si="9"/>
        <v>26666.666666666668</v>
      </c>
      <c r="K38" s="256">
        <v>0.5</v>
      </c>
      <c r="L38" s="357">
        <f t="shared" si="10"/>
        <v>200000</v>
      </c>
      <c r="M38" s="256">
        <v>0.06</v>
      </c>
      <c r="N38" s="253">
        <v>10</v>
      </c>
      <c r="O38" s="358">
        <f t="shared" si="11"/>
        <v>27173.591644076765</v>
      </c>
    </row>
    <row r="39" spans="2:15" ht="15.6">
      <c r="B39" s="348"/>
      <c r="C39" s="531" t="s">
        <v>348</v>
      </c>
      <c r="D39" s="531"/>
      <c r="E39" s="371" t="s">
        <v>15</v>
      </c>
      <c r="F39" s="355" t="s">
        <v>15</v>
      </c>
      <c r="G39" s="261">
        <v>0</v>
      </c>
      <c r="H39" s="255">
        <f t="shared" si="8"/>
        <v>0</v>
      </c>
      <c r="I39" s="262">
        <v>15</v>
      </c>
      <c r="J39" s="353">
        <f t="shared" si="9"/>
        <v>0</v>
      </c>
      <c r="K39" s="256">
        <v>0.5</v>
      </c>
      <c r="L39" s="357">
        <f t="shared" si="10"/>
        <v>0</v>
      </c>
      <c r="M39" s="256">
        <v>0.06</v>
      </c>
      <c r="N39" s="253">
        <v>10</v>
      </c>
      <c r="O39" s="358">
        <f t="shared" si="11"/>
        <v>0</v>
      </c>
    </row>
    <row r="40" spans="2:15" ht="15.6">
      <c r="B40" s="348"/>
      <c r="C40" s="531" t="s">
        <v>348</v>
      </c>
      <c r="D40" s="531"/>
      <c r="E40" s="348"/>
      <c r="F40" s="355" t="s">
        <v>15</v>
      </c>
      <c r="G40" s="261">
        <v>0</v>
      </c>
      <c r="H40" s="255">
        <f t="shared" si="8"/>
        <v>0</v>
      </c>
      <c r="I40" s="262">
        <v>15</v>
      </c>
      <c r="J40" s="353">
        <f t="shared" si="9"/>
        <v>0</v>
      </c>
      <c r="K40" s="256">
        <v>0.5</v>
      </c>
      <c r="L40" s="357">
        <f t="shared" si="10"/>
        <v>0</v>
      </c>
      <c r="M40" s="256">
        <v>0.06</v>
      </c>
      <c r="N40" s="253">
        <v>10</v>
      </c>
      <c r="O40" s="358">
        <f t="shared" si="11"/>
        <v>0</v>
      </c>
    </row>
    <row r="41" spans="2:15" ht="15.6">
      <c r="B41" s="348"/>
      <c r="C41" s="531" t="s">
        <v>348</v>
      </c>
      <c r="D41" s="531"/>
      <c r="E41" s="348"/>
      <c r="F41" s="355" t="s">
        <v>15</v>
      </c>
      <c r="G41" s="261">
        <v>0</v>
      </c>
      <c r="H41" s="255">
        <f t="shared" ref="H41" si="12">+G41*0.2</f>
        <v>0</v>
      </c>
      <c r="I41" s="262">
        <v>15</v>
      </c>
      <c r="J41" s="353">
        <f t="shared" ref="J41" si="13">G41/I41</f>
        <v>0</v>
      </c>
      <c r="K41" s="256">
        <v>0.5</v>
      </c>
      <c r="L41" s="357">
        <f t="shared" ref="L41" si="14">+K41*G41</f>
        <v>0</v>
      </c>
      <c r="M41" s="256">
        <v>0.06</v>
      </c>
      <c r="N41" s="253">
        <v>10</v>
      </c>
      <c r="O41" s="358">
        <f t="shared" ref="O41" si="15">-PMT(M41,N41,L41)</f>
        <v>0</v>
      </c>
    </row>
    <row r="42" spans="2:15" ht="16.2" thickBot="1">
      <c r="B42" s="348"/>
      <c r="C42" s="531" t="s">
        <v>348</v>
      </c>
      <c r="D42" s="531"/>
      <c r="E42" s="348"/>
      <c r="F42" s="355" t="s">
        <v>15</v>
      </c>
      <c r="G42" s="261">
        <v>0</v>
      </c>
      <c r="H42" s="255">
        <f t="shared" si="8"/>
        <v>0</v>
      </c>
      <c r="I42" s="262">
        <v>15</v>
      </c>
      <c r="J42" s="353">
        <f t="shared" si="9"/>
        <v>0</v>
      </c>
      <c r="K42" s="256">
        <v>0.5</v>
      </c>
      <c r="L42" s="357">
        <f t="shared" si="10"/>
        <v>0</v>
      </c>
      <c r="M42" s="256">
        <v>0.06</v>
      </c>
      <c r="N42" s="253">
        <v>10</v>
      </c>
      <c r="O42" s="358">
        <f t="shared" si="11"/>
        <v>0</v>
      </c>
    </row>
    <row r="43" spans="2:15" ht="13.8" thickBot="1">
      <c r="B43" s="348"/>
      <c r="C43" s="372" t="s">
        <v>349</v>
      </c>
      <c r="D43" s="373"/>
      <c r="E43" s="374"/>
      <c r="F43" s="375"/>
      <c r="G43" s="362">
        <f>+SUM(G31:G42)</f>
        <v>549520</v>
      </c>
      <c r="H43" s="376">
        <f>+SUM(H31:H42)</f>
        <v>109904</v>
      </c>
      <c r="I43" s="377"/>
      <c r="J43" s="362">
        <f>+SUM(J31:J42)</f>
        <v>37535.523809523809</v>
      </c>
      <c r="K43" s="363"/>
      <c r="L43" s="364">
        <f>+SUM(L31:L42)</f>
        <v>274760</v>
      </c>
      <c r="M43" s="363"/>
      <c r="N43" s="363"/>
      <c r="O43" s="365">
        <f>+SUM(O31:O42)</f>
        <v>37331.080200632663</v>
      </c>
    </row>
    <row r="44" spans="2:15">
      <c r="B44" s="348"/>
      <c r="C44" s="381"/>
      <c r="D44" s="381"/>
      <c r="E44" s="382"/>
      <c r="F44" s="383"/>
      <c r="G44" s="384"/>
      <c r="H44" s="385"/>
      <c r="I44" s="386"/>
      <c r="J44" s="384"/>
      <c r="K44" s="348"/>
      <c r="L44" s="348"/>
      <c r="M44" s="348"/>
      <c r="N44" s="348"/>
      <c r="O44" s="348"/>
    </row>
    <row r="45" spans="2:15">
      <c r="B45" s="348"/>
      <c r="C45" s="387" t="s">
        <v>343</v>
      </c>
      <c r="D45" s="387"/>
      <c r="E45" s="388"/>
      <c r="F45" s="355"/>
      <c r="G45" s="389"/>
      <c r="H45" s="390"/>
      <c r="I45" s="391"/>
      <c r="J45" s="389"/>
      <c r="K45" s="348"/>
      <c r="L45" s="348"/>
      <c r="M45" s="348"/>
      <c r="N45" s="348"/>
      <c r="O45" s="348"/>
    </row>
    <row r="46" spans="2:15" ht="15.6">
      <c r="B46" s="348"/>
      <c r="C46" s="531" t="s">
        <v>406</v>
      </c>
      <c r="D46" s="531"/>
      <c r="E46" s="253">
        <v>1</v>
      </c>
      <c r="F46" s="261">
        <v>125000</v>
      </c>
      <c r="G46" s="412">
        <f>+F46*E46</f>
        <v>125000</v>
      </c>
      <c r="H46" s="255">
        <f>+G46*0.2</f>
        <v>25000</v>
      </c>
      <c r="I46" s="262">
        <v>7</v>
      </c>
      <c r="J46" s="353">
        <f>+(G46-H46)/I46</f>
        <v>14285.714285714286</v>
      </c>
      <c r="K46" s="256">
        <v>0.5</v>
      </c>
      <c r="L46" s="357">
        <f>+K46*G46</f>
        <v>62500</v>
      </c>
      <c r="M46" s="256">
        <v>0.06</v>
      </c>
      <c r="N46" s="253">
        <v>5</v>
      </c>
      <c r="O46" s="358">
        <f>-PMT(M46,N46,L46)</f>
        <v>14837.27502694935</v>
      </c>
    </row>
    <row r="47" spans="2:15" ht="15.6">
      <c r="B47" s="348"/>
      <c r="C47" s="531" t="s">
        <v>407</v>
      </c>
      <c r="D47" s="531"/>
      <c r="E47" s="253">
        <v>1</v>
      </c>
      <c r="F47" s="261">
        <v>42000</v>
      </c>
      <c r="G47" s="412">
        <f t="shared" ref="G47:G68" si="16">+F47*E47</f>
        <v>42000</v>
      </c>
      <c r="H47" s="255">
        <f t="shared" ref="H47:H60" si="17">+G47*0.2</f>
        <v>8400</v>
      </c>
      <c r="I47" s="262">
        <v>7</v>
      </c>
      <c r="J47" s="353">
        <f t="shared" ref="J47:J60" si="18">+(G47-H47)/I47</f>
        <v>4800</v>
      </c>
      <c r="K47" s="256">
        <v>0.5</v>
      </c>
      <c r="L47" s="357">
        <f t="shared" ref="L47:L60" si="19">+K47*G47</f>
        <v>21000</v>
      </c>
      <c r="M47" s="256">
        <v>0.06</v>
      </c>
      <c r="N47" s="253">
        <v>5</v>
      </c>
      <c r="O47" s="358">
        <f t="shared" ref="O47:O60" si="20">-PMT(M47,N47,L47)</f>
        <v>4985.3244090549824</v>
      </c>
    </row>
    <row r="48" spans="2:15" ht="15.6">
      <c r="B48" s="348"/>
      <c r="C48" s="531" t="s">
        <v>408</v>
      </c>
      <c r="D48" s="531"/>
      <c r="E48" s="253">
        <v>1</v>
      </c>
      <c r="F48" s="261">
        <v>78500</v>
      </c>
      <c r="G48" s="412">
        <f t="shared" si="16"/>
        <v>78500</v>
      </c>
      <c r="H48" s="255">
        <f t="shared" si="17"/>
        <v>15700</v>
      </c>
      <c r="I48" s="262">
        <v>7</v>
      </c>
      <c r="J48" s="353">
        <f t="shared" si="18"/>
        <v>8971.4285714285706</v>
      </c>
      <c r="K48" s="256">
        <v>0.5</v>
      </c>
      <c r="L48" s="357">
        <f t="shared" si="19"/>
        <v>39250</v>
      </c>
      <c r="M48" s="256">
        <v>0.06</v>
      </c>
      <c r="N48" s="253">
        <v>5</v>
      </c>
      <c r="O48" s="358">
        <f t="shared" si="20"/>
        <v>9317.8087169241917</v>
      </c>
    </row>
    <row r="49" spans="2:15" ht="15.6">
      <c r="B49" s="348"/>
      <c r="C49" s="531" t="s">
        <v>409</v>
      </c>
      <c r="D49" s="531"/>
      <c r="E49" s="253">
        <v>0</v>
      </c>
      <c r="F49" s="261">
        <v>27500</v>
      </c>
      <c r="G49" s="412">
        <f t="shared" si="16"/>
        <v>0</v>
      </c>
      <c r="H49" s="255">
        <f t="shared" si="17"/>
        <v>0</v>
      </c>
      <c r="I49" s="262">
        <v>7</v>
      </c>
      <c r="J49" s="353">
        <f t="shared" si="18"/>
        <v>0</v>
      </c>
      <c r="K49" s="256">
        <v>0.5</v>
      </c>
      <c r="L49" s="357">
        <f t="shared" si="19"/>
        <v>0</v>
      </c>
      <c r="M49" s="256">
        <v>0.06</v>
      </c>
      <c r="N49" s="253">
        <v>5</v>
      </c>
      <c r="O49" s="358">
        <f t="shared" si="20"/>
        <v>0</v>
      </c>
    </row>
    <row r="50" spans="2:15" ht="15.6">
      <c r="B50" s="348"/>
      <c r="C50" s="531" t="s">
        <v>410</v>
      </c>
      <c r="D50" s="531"/>
      <c r="E50" s="253">
        <v>1</v>
      </c>
      <c r="F50" s="261">
        <v>18250</v>
      </c>
      <c r="G50" s="412">
        <f t="shared" si="16"/>
        <v>18250</v>
      </c>
      <c r="H50" s="255">
        <f t="shared" si="17"/>
        <v>3650</v>
      </c>
      <c r="I50" s="262">
        <v>7</v>
      </c>
      <c r="J50" s="353">
        <f t="shared" si="18"/>
        <v>2085.7142857142858</v>
      </c>
      <c r="K50" s="256">
        <v>0.5</v>
      </c>
      <c r="L50" s="357">
        <f t="shared" si="19"/>
        <v>9125</v>
      </c>
      <c r="M50" s="256">
        <v>0.06</v>
      </c>
      <c r="N50" s="253">
        <v>5</v>
      </c>
      <c r="O50" s="358">
        <f t="shared" si="20"/>
        <v>2166.2421539346051</v>
      </c>
    </row>
    <row r="51" spans="2:15" ht="15.6">
      <c r="B51" s="348"/>
      <c r="C51" s="531" t="s">
        <v>411</v>
      </c>
      <c r="D51" s="531"/>
      <c r="E51" s="253">
        <v>1</v>
      </c>
      <c r="F51" s="261">
        <v>60000</v>
      </c>
      <c r="G51" s="412">
        <f t="shared" si="16"/>
        <v>60000</v>
      </c>
      <c r="H51" s="255">
        <f t="shared" si="17"/>
        <v>12000</v>
      </c>
      <c r="I51" s="262">
        <v>5</v>
      </c>
      <c r="J51" s="353">
        <f t="shared" si="18"/>
        <v>9600</v>
      </c>
      <c r="K51" s="256">
        <v>0.5</v>
      </c>
      <c r="L51" s="357">
        <f t="shared" si="19"/>
        <v>30000</v>
      </c>
      <c r="M51" s="256">
        <v>0.06</v>
      </c>
      <c r="N51" s="253">
        <v>5</v>
      </c>
      <c r="O51" s="358">
        <f t="shared" si="20"/>
        <v>7121.8920129356884</v>
      </c>
    </row>
    <row r="52" spans="2:15" ht="15.6">
      <c r="B52" s="348"/>
      <c r="C52" s="531" t="s">
        <v>413</v>
      </c>
      <c r="D52" s="531"/>
      <c r="E52" s="253">
        <v>1</v>
      </c>
      <c r="F52" s="261">
        <v>42000</v>
      </c>
      <c r="G52" s="412">
        <f t="shared" si="16"/>
        <v>42000</v>
      </c>
      <c r="H52" s="255">
        <f t="shared" si="17"/>
        <v>8400</v>
      </c>
      <c r="I52" s="262">
        <v>5</v>
      </c>
      <c r="J52" s="353">
        <f t="shared" si="18"/>
        <v>6720</v>
      </c>
      <c r="K52" s="256">
        <v>0.5</v>
      </c>
      <c r="L52" s="357">
        <f t="shared" si="19"/>
        <v>21000</v>
      </c>
      <c r="M52" s="256">
        <v>0.06</v>
      </c>
      <c r="N52" s="253">
        <v>5</v>
      </c>
      <c r="O52" s="358">
        <f t="shared" si="20"/>
        <v>4985.3244090549824</v>
      </c>
    </row>
    <row r="53" spans="2:15" ht="15.6">
      <c r="B53" s="348"/>
      <c r="C53" s="531" t="s">
        <v>412</v>
      </c>
      <c r="D53" s="531"/>
      <c r="E53" s="253">
        <v>1</v>
      </c>
      <c r="F53" s="261">
        <v>42000</v>
      </c>
      <c r="G53" s="412">
        <f t="shared" si="16"/>
        <v>42000</v>
      </c>
      <c r="H53" s="255">
        <f t="shared" si="17"/>
        <v>8400</v>
      </c>
      <c r="I53" s="262">
        <v>5</v>
      </c>
      <c r="J53" s="353">
        <f t="shared" si="18"/>
        <v>6720</v>
      </c>
      <c r="K53" s="256">
        <v>0.5</v>
      </c>
      <c r="L53" s="357">
        <f t="shared" si="19"/>
        <v>21000</v>
      </c>
      <c r="M53" s="256">
        <v>0.06</v>
      </c>
      <c r="N53" s="253">
        <v>5</v>
      </c>
      <c r="O53" s="358">
        <f t="shared" si="20"/>
        <v>4985.3244090549824</v>
      </c>
    </row>
    <row r="54" spans="2:15" ht="15.6">
      <c r="B54" s="348"/>
      <c r="C54" s="531" t="s">
        <v>666</v>
      </c>
      <c r="D54" s="531"/>
      <c r="E54" s="253">
        <v>2</v>
      </c>
      <c r="F54" s="261">
        <v>9000</v>
      </c>
      <c r="G54" s="412">
        <f t="shared" si="16"/>
        <v>18000</v>
      </c>
      <c r="H54" s="255">
        <f t="shared" si="17"/>
        <v>3600</v>
      </c>
      <c r="I54" s="262">
        <v>6</v>
      </c>
      <c r="J54" s="353">
        <f t="shared" si="18"/>
        <v>2400</v>
      </c>
      <c r="K54" s="256">
        <v>0.5</v>
      </c>
      <c r="L54" s="357">
        <f t="shared" si="19"/>
        <v>9000</v>
      </c>
      <c r="M54" s="256">
        <v>0.06</v>
      </c>
      <c r="N54" s="253">
        <v>5</v>
      </c>
      <c r="O54" s="358">
        <f t="shared" si="20"/>
        <v>2136.5676038807069</v>
      </c>
    </row>
    <row r="55" spans="2:15" ht="15.6">
      <c r="B55" s="348"/>
      <c r="C55" s="531" t="s">
        <v>414</v>
      </c>
      <c r="D55" s="531"/>
      <c r="E55" s="253">
        <v>0</v>
      </c>
      <c r="F55" s="261">
        <v>20000</v>
      </c>
      <c r="G55" s="412">
        <f t="shared" si="16"/>
        <v>0</v>
      </c>
      <c r="H55" s="255">
        <f t="shared" si="17"/>
        <v>0</v>
      </c>
      <c r="I55" s="262">
        <v>6</v>
      </c>
      <c r="J55" s="353">
        <f t="shared" si="18"/>
        <v>0</v>
      </c>
      <c r="K55" s="256">
        <v>0.5</v>
      </c>
      <c r="L55" s="357">
        <f t="shared" si="19"/>
        <v>0</v>
      </c>
      <c r="M55" s="256">
        <v>0.06</v>
      </c>
      <c r="N55" s="253">
        <v>5</v>
      </c>
      <c r="O55" s="358">
        <f t="shared" si="20"/>
        <v>0</v>
      </c>
    </row>
    <row r="56" spans="2:15" ht="15.6">
      <c r="B56" s="348"/>
      <c r="C56" s="531" t="s">
        <v>464</v>
      </c>
      <c r="D56" s="531"/>
      <c r="E56" s="253">
        <v>0</v>
      </c>
      <c r="F56" s="261">
        <v>250000</v>
      </c>
      <c r="G56" s="412">
        <f>+F56*E56</f>
        <v>0</v>
      </c>
      <c r="H56" s="255">
        <f t="shared" si="17"/>
        <v>0</v>
      </c>
      <c r="I56" s="262">
        <v>8</v>
      </c>
      <c r="J56" s="353">
        <f>+(G56-H56)/I56</f>
        <v>0</v>
      </c>
      <c r="K56" s="256">
        <v>0.5</v>
      </c>
      <c r="L56" s="357">
        <f>+K56*G56</f>
        <v>0</v>
      </c>
      <c r="M56" s="256">
        <v>0.06</v>
      </c>
      <c r="N56" s="253">
        <v>5</v>
      </c>
      <c r="O56" s="358">
        <f>-PMT(M56,N56,L56)</f>
        <v>0</v>
      </c>
    </row>
    <row r="57" spans="2:15" ht="15.6">
      <c r="B57" s="348"/>
      <c r="C57" s="531" t="s">
        <v>465</v>
      </c>
      <c r="D57" s="531"/>
      <c r="E57" s="253">
        <v>2</v>
      </c>
      <c r="F57" s="261">
        <v>210000</v>
      </c>
      <c r="G57" s="412">
        <f>+F57*E57</f>
        <v>420000</v>
      </c>
      <c r="H57" s="255">
        <f t="shared" si="17"/>
        <v>84000</v>
      </c>
      <c r="I57" s="262">
        <v>8</v>
      </c>
      <c r="J57" s="353">
        <f>+(G57-H57)/I57</f>
        <v>42000</v>
      </c>
      <c r="K57" s="256">
        <v>0.5</v>
      </c>
      <c r="L57" s="357">
        <f>+K57*G57</f>
        <v>210000</v>
      </c>
      <c r="M57" s="256">
        <v>0.06</v>
      </c>
      <c r="N57" s="253">
        <v>5</v>
      </c>
      <c r="O57" s="358">
        <f>-PMT(M57,N57,L57)</f>
        <v>49853.244090549815</v>
      </c>
    </row>
    <row r="58" spans="2:15" ht="15.6">
      <c r="B58" s="348"/>
      <c r="C58" s="532" t="s">
        <v>416</v>
      </c>
      <c r="D58" s="532"/>
      <c r="E58" s="253">
        <v>1</v>
      </c>
      <c r="F58" s="261">
        <v>34000</v>
      </c>
      <c r="G58" s="412">
        <f>+F58*E58</f>
        <v>34000</v>
      </c>
      <c r="H58" s="255">
        <f t="shared" si="17"/>
        <v>6800</v>
      </c>
      <c r="I58" s="262">
        <v>10</v>
      </c>
      <c r="J58" s="353">
        <f>+(G58-H58)/I58</f>
        <v>2720</v>
      </c>
      <c r="K58" s="256">
        <v>0.5</v>
      </c>
      <c r="L58" s="357">
        <f>+K58*G58</f>
        <v>17000</v>
      </c>
      <c r="M58" s="256">
        <v>0.06</v>
      </c>
      <c r="N58" s="253">
        <v>5</v>
      </c>
      <c r="O58" s="358">
        <f>-PMT(M58,N58,L58)</f>
        <v>4035.7388073302232</v>
      </c>
    </row>
    <row r="59" spans="2:15" ht="15.6">
      <c r="B59" s="348"/>
      <c r="C59" s="532" t="s">
        <v>477</v>
      </c>
      <c r="D59" s="532"/>
      <c r="E59" s="253">
        <v>1</v>
      </c>
      <c r="F59" s="261">
        <v>70000</v>
      </c>
      <c r="G59" s="412">
        <f>+F59*E59</f>
        <v>70000</v>
      </c>
      <c r="H59" s="255">
        <f t="shared" si="17"/>
        <v>14000</v>
      </c>
      <c r="I59" s="262">
        <v>8</v>
      </c>
      <c r="J59" s="353">
        <f>+(G59-H59)/I59</f>
        <v>7000</v>
      </c>
      <c r="K59" s="256">
        <v>0.5</v>
      </c>
      <c r="L59" s="357">
        <f>+K59*G59</f>
        <v>35000</v>
      </c>
      <c r="M59" s="256">
        <v>0.06</v>
      </c>
      <c r="N59" s="253">
        <v>5</v>
      </c>
      <c r="O59" s="358">
        <f>-PMT(M59,N59,L59)</f>
        <v>8308.8740150916365</v>
      </c>
    </row>
    <row r="60" spans="2:15" ht="15.6">
      <c r="B60" s="348"/>
      <c r="C60" s="532" t="s">
        <v>417</v>
      </c>
      <c r="D60" s="532"/>
      <c r="E60" s="253">
        <v>1</v>
      </c>
      <c r="F60" s="261">
        <v>16000</v>
      </c>
      <c r="G60" s="412">
        <f t="shared" si="16"/>
        <v>16000</v>
      </c>
      <c r="H60" s="255">
        <f t="shared" si="17"/>
        <v>3200</v>
      </c>
      <c r="I60" s="262">
        <v>8</v>
      </c>
      <c r="J60" s="353">
        <f t="shared" si="18"/>
        <v>1600</v>
      </c>
      <c r="K60" s="256">
        <v>0.5</v>
      </c>
      <c r="L60" s="357">
        <f t="shared" si="19"/>
        <v>8000</v>
      </c>
      <c r="M60" s="256">
        <v>0.06</v>
      </c>
      <c r="N60" s="253">
        <v>5</v>
      </c>
      <c r="O60" s="358">
        <f t="shared" si="20"/>
        <v>1899.171203449517</v>
      </c>
    </row>
    <row r="61" spans="2:15" ht="15.6">
      <c r="B61" s="348"/>
      <c r="C61" s="531" t="s">
        <v>466</v>
      </c>
      <c r="D61" s="531"/>
      <c r="E61" s="252">
        <v>1</v>
      </c>
      <c r="F61" s="261">
        <v>15000</v>
      </c>
      <c r="G61" s="412">
        <f>+F61*E61</f>
        <v>15000</v>
      </c>
      <c r="H61" s="255">
        <f>+G61*0.2</f>
        <v>3000</v>
      </c>
      <c r="I61" s="262">
        <v>7</v>
      </c>
      <c r="J61" s="353">
        <f>+(G61-H61)/I61</f>
        <v>1714.2857142857142</v>
      </c>
      <c r="K61" s="256">
        <v>0.5</v>
      </c>
      <c r="L61" s="357">
        <f>+K61*G61</f>
        <v>7500</v>
      </c>
      <c r="M61" s="256">
        <v>0.06</v>
      </c>
      <c r="N61" s="253">
        <v>5</v>
      </c>
      <c r="O61" s="358">
        <f>-PMT(M61,N61,L61)</f>
        <v>1780.4730032339221</v>
      </c>
    </row>
    <row r="62" spans="2:15" ht="15.6">
      <c r="B62" s="348"/>
      <c r="C62" s="531" t="s">
        <v>475</v>
      </c>
      <c r="D62" s="531"/>
      <c r="E62" s="252">
        <v>1</v>
      </c>
      <c r="F62" s="261">
        <v>60000</v>
      </c>
      <c r="G62" s="412">
        <f t="shared" ref="G62:G67" si="21">+F62*E62</f>
        <v>60000</v>
      </c>
      <c r="H62" s="255">
        <f t="shared" ref="H62:H67" si="22">+G62*0.2</f>
        <v>12000</v>
      </c>
      <c r="I62" s="262">
        <v>7</v>
      </c>
      <c r="J62" s="353">
        <f t="shared" ref="J62:J67" si="23">+(G62-H62)/I62</f>
        <v>6857.1428571428569</v>
      </c>
      <c r="K62" s="256">
        <v>0.5</v>
      </c>
      <c r="L62" s="357">
        <f t="shared" ref="L62:L67" si="24">+K62*G62</f>
        <v>30000</v>
      </c>
      <c r="M62" s="256">
        <v>0.06</v>
      </c>
      <c r="N62" s="253">
        <v>5</v>
      </c>
      <c r="O62" s="358">
        <f t="shared" ref="O62:O67" si="25">-PMT(M62,N62,L62)</f>
        <v>7121.8920129356884</v>
      </c>
    </row>
    <row r="63" spans="2:15" ht="15.6">
      <c r="B63" s="348"/>
      <c r="C63" s="531" t="s">
        <v>476</v>
      </c>
      <c r="D63" s="531"/>
      <c r="E63" s="252">
        <v>1</v>
      </c>
      <c r="F63" s="261">
        <v>25000</v>
      </c>
      <c r="G63" s="412">
        <f t="shared" si="21"/>
        <v>25000</v>
      </c>
      <c r="H63" s="255">
        <f t="shared" si="22"/>
        <v>5000</v>
      </c>
      <c r="I63" s="262">
        <v>7</v>
      </c>
      <c r="J63" s="353">
        <f t="shared" si="23"/>
        <v>2857.1428571428573</v>
      </c>
      <c r="K63" s="256">
        <v>0.5</v>
      </c>
      <c r="L63" s="357">
        <f t="shared" si="24"/>
        <v>12500</v>
      </c>
      <c r="M63" s="256">
        <v>0.06</v>
      </c>
      <c r="N63" s="253">
        <v>5</v>
      </c>
      <c r="O63" s="358">
        <f t="shared" si="25"/>
        <v>2967.4550053898702</v>
      </c>
    </row>
    <row r="64" spans="2:15" ht="15.6">
      <c r="B64" s="348"/>
      <c r="C64" s="531" t="s">
        <v>467</v>
      </c>
      <c r="D64" s="531"/>
      <c r="E64" s="252">
        <v>1</v>
      </c>
      <c r="F64" s="261">
        <v>10000</v>
      </c>
      <c r="G64" s="412">
        <f t="shared" si="21"/>
        <v>10000</v>
      </c>
      <c r="H64" s="255">
        <f t="shared" si="22"/>
        <v>2000</v>
      </c>
      <c r="I64" s="262">
        <v>7</v>
      </c>
      <c r="J64" s="353">
        <f t="shared" si="23"/>
        <v>1142.8571428571429</v>
      </c>
      <c r="K64" s="256">
        <v>0.5</v>
      </c>
      <c r="L64" s="357">
        <f t="shared" si="24"/>
        <v>5000</v>
      </c>
      <c r="M64" s="256">
        <v>0.06</v>
      </c>
      <c r="N64" s="253">
        <v>5</v>
      </c>
      <c r="O64" s="358">
        <f t="shared" si="25"/>
        <v>1186.9820021559481</v>
      </c>
    </row>
    <row r="65" spans="2:15" ht="15.6">
      <c r="B65" s="348"/>
      <c r="C65" s="531" t="s">
        <v>468</v>
      </c>
      <c r="D65" s="531"/>
      <c r="E65" s="252">
        <v>1</v>
      </c>
      <c r="F65" s="261">
        <v>35000</v>
      </c>
      <c r="G65" s="412">
        <f t="shared" si="21"/>
        <v>35000</v>
      </c>
      <c r="H65" s="255">
        <f t="shared" si="22"/>
        <v>7000</v>
      </c>
      <c r="I65" s="262">
        <v>7</v>
      </c>
      <c r="J65" s="353">
        <f t="shared" si="23"/>
        <v>4000</v>
      </c>
      <c r="K65" s="256">
        <v>0.5</v>
      </c>
      <c r="L65" s="357">
        <f t="shared" si="24"/>
        <v>17500</v>
      </c>
      <c r="M65" s="256">
        <v>0.06</v>
      </c>
      <c r="N65" s="253">
        <v>5</v>
      </c>
      <c r="O65" s="358">
        <f t="shared" si="25"/>
        <v>4154.4370075458182</v>
      </c>
    </row>
    <row r="66" spans="2:15" ht="15.6">
      <c r="B66" s="348"/>
      <c r="C66" s="531" t="s">
        <v>469</v>
      </c>
      <c r="D66" s="531"/>
      <c r="E66" s="252">
        <v>1</v>
      </c>
      <c r="F66" s="261">
        <v>22000</v>
      </c>
      <c r="G66" s="412">
        <f t="shared" si="21"/>
        <v>22000</v>
      </c>
      <c r="H66" s="255">
        <f t="shared" si="22"/>
        <v>4400</v>
      </c>
      <c r="I66" s="262">
        <v>7</v>
      </c>
      <c r="J66" s="353">
        <f t="shared" si="23"/>
        <v>2514.2857142857142</v>
      </c>
      <c r="K66" s="256">
        <v>0.5</v>
      </c>
      <c r="L66" s="357">
        <f t="shared" si="24"/>
        <v>11000</v>
      </c>
      <c r="M66" s="256">
        <v>0.06</v>
      </c>
      <c r="N66" s="253">
        <v>5</v>
      </c>
      <c r="O66" s="358">
        <f t="shared" si="25"/>
        <v>2611.3604047430858</v>
      </c>
    </row>
    <row r="67" spans="2:15" ht="15.6">
      <c r="B67" s="348"/>
      <c r="C67" s="531" t="s">
        <v>470</v>
      </c>
      <c r="D67" s="531"/>
      <c r="E67" s="252">
        <v>1</v>
      </c>
      <c r="F67" s="261">
        <v>17500</v>
      </c>
      <c r="G67" s="412">
        <f t="shared" si="21"/>
        <v>17500</v>
      </c>
      <c r="H67" s="255">
        <f t="shared" si="22"/>
        <v>3500</v>
      </c>
      <c r="I67" s="262">
        <v>7</v>
      </c>
      <c r="J67" s="353">
        <f t="shared" si="23"/>
        <v>2000</v>
      </c>
      <c r="K67" s="256">
        <v>0.5</v>
      </c>
      <c r="L67" s="357">
        <f t="shared" si="24"/>
        <v>8750</v>
      </c>
      <c r="M67" s="256">
        <v>0.06</v>
      </c>
      <c r="N67" s="253">
        <v>5</v>
      </c>
      <c r="O67" s="358">
        <f t="shared" si="25"/>
        <v>2077.2185037729091</v>
      </c>
    </row>
    <row r="68" spans="2:15" ht="15.6">
      <c r="B68" s="348"/>
      <c r="C68" s="531" t="s">
        <v>463</v>
      </c>
      <c r="D68" s="531"/>
      <c r="E68" s="252">
        <v>1</v>
      </c>
      <c r="F68" s="261">
        <v>20000</v>
      </c>
      <c r="G68" s="412">
        <f t="shared" si="16"/>
        <v>20000</v>
      </c>
      <c r="H68" s="255">
        <f>+G68*0.2</f>
        <v>4000</v>
      </c>
      <c r="I68" s="262">
        <v>7</v>
      </c>
      <c r="J68" s="353">
        <f>+(G68-H68)/I68</f>
        <v>2285.7142857142858</v>
      </c>
      <c r="K68" s="256">
        <v>0.5</v>
      </c>
      <c r="L68" s="357">
        <f>+K68*G68</f>
        <v>10000</v>
      </c>
      <c r="M68" s="256">
        <v>0.06</v>
      </c>
      <c r="N68" s="253">
        <v>5</v>
      </c>
      <c r="O68" s="358">
        <f>-PMT(M68,N68,L68)</f>
        <v>2373.9640043118961</v>
      </c>
    </row>
    <row r="69" spans="2:15" ht="15.6">
      <c r="B69" s="348"/>
      <c r="C69" s="531" t="s">
        <v>480</v>
      </c>
      <c r="D69" s="531"/>
      <c r="E69" s="252">
        <v>1</v>
      </c>
      <c r="F69" s="261">
        <v>40000</v>
      </c>
      <c r="G69" s="412">
        <f t="shared" ref="G69" si="26">+F69*E69</f>
        <v>40000</v>
      </c>
      <c r="H69" s="255">
        <f>+G69*0.2</f>
        <v>8000</v>
      </c>
      <c r="I69" s="262">
        <v>7</v>
      </c>
      <c r="J69" s="353">
        <f>+(G69-H69)/I69</f>
        <v>4571.4285714285716</v>
      </c>
      <c r="K69" s="256">
        <v>0.5</v>
      </c>
      <c r="L69" s="357">
        <f>+K69*G69</f>
        <v>20000</v>
      </c>
      <c r="M69" s="256">
        <v>0.06</v>
      </c>
      <c r="N69" s="253">
        <v>5</v>
      </c>
      <c r="O69" s="358">
        <f>-PMT(M69,N69,L69)</f>
        <v>4747.9280086237923</v>
      </c>
    </row>
    <row r="70" spans="2:15" ht="15.6">
      <c r="B70" s="348"/>
      <c r="C70" s="531" t="s">
        <v>481</v>
      </c>
      <c r="D70" s="531"/>
      <c r="E70" s="252">
        <v>1</v>
      </c>
      <c r="F70" s="261">
        <v>35000</v>
      </c>
      <c r="G70" s="412">
        <f t="shared" ref="G70:G73" si="27">+F70*E70</f>
        <v>35000</v>
      </c>
      <c r="H70" s="255">
        <f t="shared" ref="H70:H73" si="28">+G70*0.2</f>
        <v>7000</v>
      </c>
      <c r="I70" s="262">
        <v>7</v>
      </c>
      <c r="J70" s="353">
        <f t="shared" ref="J70:J73" si="29">+(G70-H70)/I70</f>
        <v>4000</v>
      </c>
      <c r="K70" s="256">
        <v>0.5</v>
      </c>
      <c r="L70" s="357">
        <f t="shared" ref="L70:L73" si="30">+K70*G70</f>
        <v>17500</v>
      </c>
      <c r="M70" s="256">
        <v>0.06</v>
      </c>
      <c r="N70" s="253">
        <v>5</v>
      </c>
      <c r="O70" s="358">
        <f t="shared" ref="O70:O73" si="31">-PMT(M70,N70,L70)</f>
        <v>4154.4370075458182</v>
      </c>
    </row>
    <row r="71" spans="2:15" ht="15.6">
      <c r="B71" s="348"/>
      <c r="C71" s="531" t="s">
        <v>482</v>
      </c>
      <c r="D71" s="531"/>
      <c r="E71" s="252">
        <v>1</v>
      </c>
      <c r="F71" s="261">
        <v>25000</v>
      </c>
      <c r="G71" s="412">
        <f t="shared" si="27"/>
        <v>25000</v>
      </c>
      <c r="H71" s="255">
        <f t="shared" si="28"/>
        <v>5000</v>
      </c>
      <c r="I71" s="262">
        <v>7</v>
      </c>
      <c r="J71" s="353">
        <f t="shared" si="29"/>
        <v>2857.1428571428573</v>
      </c>
      <c r="K71" s="256">
        <v>0.5</v>
      </c>
      <c r="L71" s="357">
        <f t="shared" si="30"/>
        <v>12500</v>
      </c>
      <c r="M71" s="256">
        <v>0.06</v>
      </c>
      <c r="N71" s="253">
        <v>5</v>
      </c>
      <c r="O71" s="358">
        <f t="shared" si="31"/>
        <v>2967.4550053898702</v>
      </c>
    </row>
    <row r="72" spans="2:15" ht="15.6">
      <c r="B72" s="348"/>
      <c r="C72" s="531" t="s">
        <v>415</v>
      </c>
      <c r="D72" s="531"/>
      <c r="E72" s="252">
        <v>0</v>
      </c>
      <c r="F72" s="261">
        <v>0</v>
      </c>
      <c r="G72" s="412">
        <f t="shared" si="27"/>
        <v>0</v>
      </c>
      <c r="H72" s="255">
        <f t="shared" si="28"/>
        <v>0</v>
      </c>
      <c r="I72" s="262">
        <v>7</v>
      </c>
      <c r="J72" s="353">
        <f t="shared" si="29"/>
        <v>0</v>
      </c>
      <c r="K72" s="256">
        <v>0.5</v>
      </c>
      <c r="L72" s="357">
        <f t="shared" si="30"/>
        <v>0</v>
      </c>
      <c r="M72" s="256">
        <v>0.06</v>
      </c>
      <c r="N72" s="253">
        <v>5</v>
      </c>
      <c r="O72" s="358">
        <f t="shared" si="31"/>
        <v>0</v>
      </c>
    </row>
    <row r="73" spans="2:15" ht="16.2" thickBot="1">
      <c r="B73" s="348"/>
      <c r="C73" s="531" t="s">
        <v>415</v>
      </c>
      <c r="D73" s="531"/>
      <c r="E73" s="252">
        <v>0</v>
      </c>
      <c r="F73" s="261">
        <v>0</v>
      </c>
      <c r="G73" s="412">
        <f t="shared" si="27"/>
        <v>0</v>
      </c>
      <c r="H73" s="255">
        <f t="shared" si="28"/>
        <v>0</v>
      </c>
      <c r="I73" s="262">
        <v>7</v>
      </c>
      <c r="J73" s="353">
        <f t="shared" si="29"/>
        <v>0</v>
      </c>
      <c r="K73" s="256">
        <v>0.5</v>
      </c>
      <c r="L73" s="357">
        <f t="shared" si="30"/>
        <v>0</v>
      </c>
      <c r="M73" s="256">
        <v>0.06</v>
      </c>
      <c r="N73" s="253">
        <v>5</v>
      </c>
      <c r="O73" s="358">
        <f t="shared" si="31"/>
        <v>0</v>
      </c>
    </row>
    <row r="74" spans="2:15" ht="13.8" thickBot="1">
      <c r="B74" s="348"/>
      <c r="C74" s="535" t="s">
        <v>373</v>
      </c>
      <c r="D74" s="536"/>
      <c r="E74" s="536"/>
      <c r="F74" s="375"/>
      <c r="G74" s="361">
        <f>+SUM(G46:G73)</f>
        <v>1270250</v>
      </c>
      <c r="H74" s="361">
        <f>+SUM(H46:H73)</f>
        <v>254050</v>
      </c>
      <c r="I74" s="377"/>
      <c r="J74" s="361">
        <f>+SUM(J46:J73)</f>
        <v>143702.85714285716</v>
      </c>
      <c r="K74" s="363"/>
      <c r="L74" s="361">
        <f>+SUM(L46:L73)</f>
        <v>635125</v>
      </c>
      <c r="M74" s="363"/>
      <c r="N74" s="363"/>
      <c r="O74" s="361">
        <f>+SUM(O46:O73)</f>
        <v>150776.38882385931</v>
      </c>
    </row>
    <row r="75" spans="2:15">
      <c r="B75" s="348"/>
      <c r="C75" s="348"/>
      <c r="D75" s="348"/>
      <c r="E75" s="348"/>
      <c r="F75" s="348"/>
      <c r="G75" s="348"/>
      <c r="H75" s="348"/>
      <c r="I75" s="348"/>
      <c r="J75" s="348"/>
      <c r="K75" s="348"/>
      <c r="L75" s="348"/>
      <c r="M75" s="348"/>
      <c r="N75" s="348"/>
      <c r="O75" s="348"/>
    </row>
    <row r="76" spans="2:15" ht="13.8" thickBot="1">
      <c r="B76" s="348"/>
      <c r="C76" s="538" t="s">
        <v>656</v>
      </c>
      <c r="D76" s="539"/>
      <c r="E76" s="539"/>
      <c r="F76" s="355"/>
      <c r="G76" s="389"/>
      <c r="H76" s="390"/>
      <c r="I76" s="370"/>
      <c r="J76" s="389"/>
      <c r="K76" s="348"/>
      <c r="L76" s="348"/>
      <c r="M76" s="348"/>
      <c r="N76" s="348"/>
      <c r="O76" s="348"/>
    </row>
    <row r="77" spans="2:15" ht="16.2" thickBot="1">
      <c r="B77" s="348"/>
      <c r="C77" s="392" t="s">
        <v>347</v>
      </c>
      <c r="D77" s="392"/>
      <c r="E77" s="253">
        <v>675</v>
      </c>
      <c r="F77" s="261">
        <v>2250</v>
      </c>
      <c r="G77" s="393">
        <f>+F77*E77</f>
        <v>1518750</v>
      </c>
      <c r="H77" s="413"/>
      <c r="I77" s="414"/>
      <c r="J77" s="415"/>
      <c r="K77" s="256">
        <v>0.5</v>
      </c>
      <c r="L77" s="394">
        <f>+K77*G77</f>
        <v>759375</v>
      </c>
      <c r="M77" s="256">
        <v>0.04</v>
      </c>
      <c r="N77" s="253">
        <v>20</v>
      </c>
      <c r="O77" s="395">
        <f>PMT(Fixed_Cost!M77,Fixed_Cost!N77,-L77)</f>
        <v>55876.141655802559</v>
      </c>
    </row>
    <row r="78" spans="2:15" ht="16.2" thickBot="1">
      <c r="B78" s="348"/>
      <c r="C78" s="528" t="s">
        <v>705</v>
      </c>
      <c r="D78" s="529"/>
      <c r="E78" s="529"/>
      <c r="F78" s="529"/>
      <c r="G78" s="529"/>
      <c r="H78" s="529"/>
      <c r="I78" s="529"/>
      <c r="J78" s="529"/>
      <c r="K78" s="530"/>
      <c r="L78" s="255">
        <v>0</v>
      </c>
      <c r="M78" s="256">
        <v>0.04</v>
      </c>
      <c r="N78" s="253">
        <v>7</v>
      </c>
      <c r="O78" s="395">
        <f>PMT(Fixed_Cost!M78,Fixed_Cost!N78,-L78)</f>
        <v>0</v>
      </c>
    </row>
    <row r="79" spans="2:15" ht="13.8" thickBot="1">
      <c r="B79" s="348"/>
      <c r="C79" s="348"/>
      <c r="D79" s="348"/>
      <c r="E79" s="348"/>
      <c r="F79" s="348"/>
      <c r="G79" s="348"/>
      <c r="H79" s="348"/>
      <c r="I79" s="348"/>
      <c r="J79" s="348"/>
      <c r="K79" s="348"/>
      <c r="L79" s="348"/>
      <c r="M79" s="348"/>
      <c r="N79" s="348"/>
      <c r="O79" s="348"/>
    </row>
    <row r="80" spans="2:15" ht="13.8" thickBot="1">
      <c r="B80" s="348"/>
      <c r="C80" s="396" t="s">
        <v>362</v>
      </c>
      <c r="D80" s="397"/>
      <c r="E80" s="397"/>
      <c r="F80" s="397"/>
      <c r="G80" s="398">
        <f>+land_inv+TOTAL_INV+G43+G28+G10</f>
        <v>5451270</v>
      </c>
      <c r="H80" s="397"/>
      <c r="I80" s="397"/>
      <c r="J80" s="397"/>
      <c r="K80" s="397"/>
      <c r="L80" s="399">
        <f>+L78+L74+L43+L28+L10</f>
        <v>1664385</v>
      </c>
      <c r="M80" s="397"/>
      <c r="N80" s="397"/>
      <c r="O80" s="400">
        <f>+land_pmt+equip_pmt+WASTE_MGMT_PMT+facil_pmt+lvstk_pmt+existing_pmt</f>
        <v>331564.41511158075</v>
      </c>
    </row>
    <row r="81" spans="2:15">
      <c r="B81" s="348"/>
      <c r="C81" s="348"/>
      <c r="D81" s="348"/>
      <c r="E81" s="348"/>
      <c r="F81" s="348"/>
      <c r="G81" s="348"/>
      <c r="H81" s="348"/>
      <c r="I81" s="348"/>
      <c r="J81" s="348"/>
      <c r="K81" s="348"/>
      <c r="L81" s="348"/>
      <c r="M81" s="348"/>
      <c r="N81" s="348"/>
      <c r="O81" s="348"/>
    </row>
    <row r="82" spans="2:15">
      <c r="B82" s="348"/>
      <c r="C82" s="537" t="s">
        <v>346</v>
      </c>
      <c r="D82" s="537"/>
      <c r="E82" s="537"/>
      <c r="F82" s="537"/>
      <c r="G82" s="537"/>
      <c r="H82" s="537"/>
      <c r="I82" s="537"/>
      <c r="J82" s="537"/>
      <c r="K82" s="348"/>
      <c r="L82" s="348"/>
      <c r="M82" s="348"/>
      <c r="N82" s="348"/>
      <c r="O82" s="348"/>
    </row>
    <row r="83" spans="2:15">
      <c r="B83" s="348"/>
      <c r="C83" s="534" t="s">
        <v>337</v>
      </c>
      <c r="D83" s="534"/>
      <c r="E83" s="534"/>
      <c r="F83" s="357">
        <f>+(G10+H10)/2</f>
        <v>1061250</v>
      </c>
      <c r="G83" s="348"/>
      <c r="H83" s="348"/>
      <c r="I83" s="348"/>
      <c r="J83" s="348"/>
      <c r="K83" s="348"/>
      <c r="L83" s="348"/>
      <c r="M83" s="348"/>
      <c r="N83" s="348"/>
      <c r="O83" s="348"/>
    </row>
    <row r="84" spans="2:15" ht="13.8" thickBot="1">
      <c r="B84" s="348"/>
      <c r="C84" s="531" t="s">
        <v>338</v>
      </c>
      <c r="D84" s="531"/>
      <c r="E84" s="531"/>
      <c r="F84" s="356">
        <v>0.08</v>
      </c>
      <c r="G84" s="348"/>
      <c r="H84" s="401"/>
      <c r="I84" s="348"/>
      <c r="J84" s="348"/>
      <c r="K84" s="348"/>
      <c r="L84" s="348"/>
      <c r="M84" s="348"/>
      <c r="N84" s="348"/>
      <c r="O84" s="348"/>
    </row>
    <row r="85" spans="2:15" ht="13.8" thickBot="1">
      <c r="B85" s="348"/>
      <c r="C85" s="528" t="s">
        <v>639</v>
      </c>
      <c r="D85" s="536"/>
      <c r="E85" s="536"/>
      <c r="F85" s="402">
        <f>IF(bud_type=3,lvstk_pmt,(lvstk_inv*lvst_int)+lvstk_dep)</f>
        <v>420581.86036363634</v>
      </c>
      <c r="G85" s="348"/>
      <c r="H85" s="401"/>
      <c r="I85" s="348"/>
      <c r="J85" s="348"/>
      <c r="K85" s="348"/>
      <c r="L85" s="348"/>
      <c r="M85" s="348"/>
      <c r="N85" s="348"/>
      <c r="O85" s="348"/>
    </row>
    <row r="86" spans="2:15">
      <c r="B86" s="348"/>
      <c r="C86" s="348"/>
      <c r="D86" s="348"/>
      <c r="E86" s="348"/>
      <c r="F86" s="348"/>
      <c r="G86" s="348"/>
      <c r="H86" s="348"/>
      <c r="I86" s="348"/>
      <c r="J86" s="348"/>
      <c r="K86" s="348"/>
      <c r="L86" s="348"/>
      <c r="M86" s="348"/>
      <c r="N86" s="348"/>
      <c r="O86" s="348"/>
    </row>
    <row r="87" spans="2:15">
      <c r="B87" s="348"/>
      <c r="C87" s="534" t="s">
        <v>341</v>
      </c>
      <c r="D87" s="534"/>
      <c r="E87" s="534"/>
      <c r="F87" s="357">
        <f>+(G28+H28)/2</f>
        <v>905400</v>
      </c>
      <c r="G87" s="348"/>
      <c r="H87" s="348"/>
      <c r="I87" s="348"/>
      <c r="J87" s="348"/>
      <c r="K87" s="348"/>
      <c r="L87" s="348"/>
      <c r="M87" s="348"/>
      <c r="N87" s="348"/>
      <c r="O87" s="348"/>
    </row>
    <row r="88" spans="2:15" ht="13.8" thickBot="1">
      <c r="B88" s="348"/>
      <c r="C88" s="531" t="s">
        <v>342</v>
      </c>
      <c r="D88" s="531"/>
      <c r="E88" s="531"/>
      <c r="F88" s="356">
        <v>0.08</v>
      </c>
      <c r="G88" s="403"/>
      <c r="H88" s="380" t="s">
        <v>15</v>
      </c>
      <c r="I88" s="348"/>
      <c r="J88" s="404" t="s">
        <v>15</v>
      </c>
      <c r="K88" s="348"/>
      <c r="L88" s="348"/>
      <c r="M88" s="348"/>
      <c r="N88" s="348"/>
      <c r="O88" s="348"/>
    </row>
    <row r="89" spans="2:15" ht="13.8" thickBot="1">
      <c r="B89" s="348"/>
      <c r="C89" s="528" t="s">
        <v>641</v>
      </c>
      <c r="D89" s="536"/>
      <c r="E89" s="536"/>
      <c r="F89" s="402">
        <f>IF(bud_type=3,facil_pmt,(facil_int*facil_avginv)+build_dep)</f>
        <v>189882</v>
      </c>
      <c r="G89" s="403"/>
      <c r="H89" s="380"/>
      <c r="I89" s="348"/>
      <c r="J89" s="404"/>
      <c r="K89" s="348"/>
      <c r="L89" s="348"/>
      <c r="M89" s="348"/>
      <c r="N89" s="348"/>
      <c r="O89" s="348"/>
    </row>
    <row r="90" spans="2:15">
      <c r="B90" s="348"/>
      <c r="C90" s="405"/>
      <c r="D90" s="405"/>
      <c r="E90" s="405"/>
      <c r="F90" s="356"/>
      <c r="G90" s="403"/>
      <c r="H90" s="380"/>
      <c r="I90" s="348"/>
      <c r="J90" s="404"/>
      <c r="K90" s="348"/>
      <c r="L90" s="348"/>
      <c r="M90" s="348"/>
      <c r="N90" s="348"/>
      <c r="O90" s="348"/>
    </row>
    <row r="91" spans="2:15">
      <c r="B91" s="348"/>
      <c r="C91" s="534" t="s">
        <v>355</v>
      </c>
      <c r="D91" s="534"/>
      <c r="E91" s="534"/>
      <c r="F91" s="357">
        <f>+(G43+H43)/2</f>
        <v>329712</v>
      </c>
      <c r="G91" s="348"/>
      <c r="H91" s="348"/>
      <c r="I91" s="348"/>
      <c r="J91" s="348"/>
      <c r="K91" s="348"/>
      <c r="L91" s="348"/>
      <c r="M91" s="348"/>
      <c r="N91" s="348"/>
      <c r="O91" s="348"/>
    </row>
    <row r="92" spans="2:15" ht="13.8" thickBot="1">
      <c r="B92" s="348"/>
      <c r="C92" s="531" t="s">
        <v>342</v>
      </c>
      <c r="D92" s="531"/>
      <c r="E92" s="531"/>
      <c r="F92" s="356">
        <v>0.08</v>
      </c>
      <c r="G92" s="403"/>
      <c r="H92" s="380" t="s">
        <v>15</v>
      </c>
      <c r="I92" s="348"/>
      <c r="J92" s="404" t="s">
        <v>15</v>
      </c>
      <c r="K92" s="348"/>
      <c r="L92" s="348"/>
      <c r="M92" s="348"/>
      <c r="N92" s="348"/>
      <c r="O92" s="348"/>
    </row>
    <row r="93" spans="2:15" ht="13.8" thickBot="1">
      <c r="B93" s="348"/>
      <c r="C93" s="528" t="s">
        <v>642</v>
      </c>
      <c r="D93" s="536"/>
      <c r="E93" s="536"/>
      <c r="F93" s="402">
        <f>IF(bud_type=3,WASTE_MGMT_PMT,(waste_inv*waste_int)+waste_dep)</f>
        <v>63912.483809523808</v>
      </c>
      <c r="G93" s="403"/>
      <c r="H93" s="380"/>
      <c r="I93" s="348"/>
      <c r="J93" s="404"/>
      <c r="K93" s="348"/>
      <c r="L93" s="348"/>
      <c r="M93" s="348"/>
      <c r="N93" s="348"/>
      <c r="O93" s="348"/>
    </row>
    <row r="94" spans="2:15">
      <c r="B94" s="348"/>
      <c r="C94" s="381"/>
      <c r="D94" s="381"/>
      <c r="E94" s="381"/>
      <c r="F94" s="406"/>
      <c r="G94" s="403"/>
      <c r="H94" s="380"/>
      <c r="I94" s="348"/>
      <c r="J94" s="404"/>
      <c r="K94" s="348"/>
      <c r="L94" s="348"/>
      <c r="M94" s="348"/>
      <c r="N94" s="348"/>
      <c r="O94" s="348"/>
    </row>
    <row r="95" spans="2:15">
      <c r="B95" s="348"/>
      <c r="C95" s="534" t="s">
        <v>345</v>
      </c>
      <c r="D95" s="534"/>
      <c r="E95" s="534"/>
      <c r="F95" s="357">
        <f>+(TOTAL_INV+H74)/2</f>
        <v>762150</v>
      </c>
      <c r="G95" s="348"/>
      <c r="H95" s="348"/>
      <c r="I95" s="348"/>
      <c r="J95" s="348"/>
      <c r="K95" s="348"/>
      <c r="L95" s="348"/>
      <c r="M95" s="348"/>
      <c r="N95" s="348"/>
      <c r="O95" s="348"/>
    </row>
    <row r="96" spans="2:15" ht="13.8" thickBot="1">
      <c r="B96" s="348"/>
      <c r="C96" s="540" t="s">
        <v>344</v>
      </c>
      <c r="D96" s="540"/>
      <c r="E96" s="540"/>
      <c r="F96" s="356">
        <v>0.08</v>
      </c>
      <c r="G96" s="403"/>
      <c r="H96" s="380" t="s">
        <v>15</v>
      </c>
      <c r="I96" s="348"/>
      <c r="J96" s="404" t="s">
        <v>15</v>
      </c>
      <c r="K96" s="348"/>
      <c r="L96" s="348"/>
      <c r="M96" s="348"/>
      <c r="N96" s="348"/>
      <c r="O96" s="348"/>
    </row>
    <row r="97" spans="2:15" ht="13.8" thickBot="1">
      <c r="B97" s="348"/>
      <c r="C97" s="528" t="s">
        <v>640</v>
      </c>
      <c r="D97" s="536"/>
      <c r="E97" s="536"/>
      <c r="F97" s="402">
        <f>IF(bud_type=3,equip_pmt,(impl_avginv*impl_int)+impl_dep)</f>
        <v>204674.85714285716</v>
      </c>
      <c r="G97" s="403"/>
      <c r="H97" s="380"/>
      <c r="I97" s="348"/>
      <c r="J97" s="404"/>
      <c r="K97" s="348"/>
      <c r="L97" s="348"/>
      <c r="M97" s="348"/>
      <c r="N97" s="348"/>
      <c r="O97" s="348"/>
    </row>
    <row r="98" spans="2:15">
      <c r="B98" s="348"/>
      <c r="C98" s="348"/>
      <c r="D98" s="348"/>
      <c r="E98" s="370" t="s">
        <v>15</v>
      </c>
      <c r="F98" s="370" t="s">
        <v>15</v>
      </c>
      <c r="G98" s="370" t="s">
        <v>15</v>
      </c>
      <c r="H98" s="370" t="s">
        <v>15</v>
      </c>
      <c r="I98" s="348"/>
      <c r="J98" s="407" t="s">
        <v>15</v>
      </c>
      <c r="K98" s="348"/>
      <c r="L98" s="348"/>
      <c r="M98" s="348"/>
      <c r="N98" s="348"/>
      <c r="O98" s="348"/>
    </row>
    <row r="99" spans="2:15">
      <c r="B99" s="348"/>
      <c r="C99" s="534" t="s">
        <v>357</v>
      </c>
      <c r="D99" s="534"/>
      <c r="E99" s="534"/>
      <c r="F99" s="357">
        <f>+G77</f>
        <v>1518750</v>
      </c>
      <c r="G99" s="370"/>
      <c r="H99" s="370"/>
      <c r="I99" s="348"/>
      <c r="J99" s="407"/>
      <c r="K99" s="348"/>
      <c r="L99" s="348"/>
      <c r="M99" s="348"/>
      <c r="N99" s="348"/>
      <c r="O99" s="348"/>
    </row>
    <row r="100" spans="2:15" ht="13.8" thickBot="1">
      <c r="B100" s="348"/>
      <c r="C100" s="540" t="s">
        <v>356</v>
      </c>
      <c r="D100" s="540"/>
      <c r="E100" s="540"/>
      <c r="F100" s="356">
        <v>0.03</v>
      </c>
      <c r="G100" s="370"/>
      <c r="H100" s="370"/>
      <c r="I100" s="348"/>
      <c r="J100" s="407"/>
      <c r="K100" s="348"/>
      <c r="L100" s="348"/>
      <c r="M100" s="348"/>
      <c r="N100" s="348"/>
      <c r="O100" s="348"/>
    </row>
    <row r="101" spans="2:15" ht="13.8" thickBot="1">
      <c r="B101" s="348"/>
      <c r="C101" s="528" t="s">
        <v>643</v>
      </c>
      <c r="D101" s="536"/>
      <c r="E101" s="536"/>
      <c r="F101" s="402">
        <f>IF(bud_type=3,land_pmt,(land_int*F99))</f>
        <v>45562.5</v>
      </c>
      <c r="G101" s="370"/>
      <c r="H101" s="370"/>
      <c r="I101" s="348"/>
      <c r="J101" s="407"/>
      <c r="K101" s="348"/>
      <c r="L101" s="348"/>
      <c r="M101" s="348"/>
      <c r="N101" s="348"/>
      <c r="O101" s="348"/>
    </row>
    <row r="102" spans="2:15">
      <c r="B102" s="348"/>
      <c r="C102" s="348"/>
      <c r="D102" s="348"/>
      <c r="E102" s="370"/>
      <c r="F102" s="370"/>
      <c r="G102" s="370"/>
      <c r="H102" s="370"/>
      <c r="I102" s="348"/>
      <c r="J102" s="407"/>
      <c r="K102" s="348"/>
      <c r="L102" s="348"/>
      <c r="M102" s="348"/>
      <c r="N102" s="348"/>
      <c r="O102" s="348"/>
    </row>
    <row r="103" spans="2:15">
      <c r="B103" s="348"/>
      <c r="C103" s="533" t="s">
        <v>644</v>
      </c>
      <c r="D103" s="533"/>
      <c r="E103" s="533"/>
      <c r="F103" s="408">
        <f>+(lvstk_fc+facil_fc+F93+impl_fc+land_fc)</f>
        <v>924613.70131601731</v>
      </c>
      <c r="G103" s="409"/>
      <c r="H103" s="409"/>
      <c r="I103" s="410"/>
      <c r="J103" s="348"/>
      <c r="K103" s="348"/>
      <c r="L103" s="348"/>
      <c r="M103" s="348"/>
      <c r="N103" s="348"/>
      <c r="O103" s="348"/>
    </row>
    <row r="104" spans="2:15">
      <c r="B104" s="348"/>
      <c r="C104" s="348"/>
      <c r="D104" s="348"/>
      <c r="E104" s="348"/>
      <c r="F104" s="348"/>
      <c r="G104" s="348"/>
      <c r="H104" s="348"/>
      <c r="I104" s="348"/>
      <c r="J104" s="348"/>
      <c r="K104" s="348"/>
      <c r="L104" s="348"/>
      <c r="M104" s="348"/>
      <c r="N104" s="348"/>
      <c r="O104" s="348"/>
    </row>
    <row r="105" spans="2:15">
      <c r="B105" s="348"/>
      <c r="C105" s="411"/>
      <c r="D105" s="348"/>
      <c r="E105" s="348"/>
      <c r="F105" s="348"/>
      <c r="G105" s="348"/>
      <c r="H105" s="348"/>
      <c r="I105" s="348"/>
      <c r="J105" s="348"/>
      <c r="K105" s="348"/>
      <c r="L105" s="348"/>
      <c r="M105" s="348"/>
      <c r="N105" s="348"/>
      <c r="O105" s="348"/>
    </row>
    <row r="106" spans="2:15">
      <c r="B106" s="348"/>
      <c r="C106" s="348"/>
      <c r="D106" s="348"/>
      <c r="E106" s="348"/>
      <c r="F106" s="348"/>
      <c r="G106" s="348"/>
      <c r="H106" s="348"/>
      <c r="I106" s="348"/>
      <c r="J106" s="348"/>
      <c r="K106" s="348"/>
      <c r="L106" s="348"/>
      <c r="M106" s="348"/>
      <c r="N106" s="348"/>
      <c r="O106" s="348"/>
    </row>
    <row r="107" spans="2:15">
      <c r="B107" s="348"/>
      <c r="C107" s="348"/>
      <c r="D107" s="348"/>
      <c r="E107" s="348"/>
      <c r="F107" s="348"/>
      <c r="G107" s="348"/>
      <c r="H107" s="348"/>
      <c r="I107" s="348"/>
      <c r="J107" s="348"/>
      <c r="K107" s="348"/>
      <c r="L107" s="348"/>
      <c r="M107" s="348"/>
      <c r="N107" s="348"/>
      <c r="O107" s="348"/>
    </row>
    <row r="108" spans="2:15">
      <c r="B108" s="348"/>
      <c r="C108" s="348"/>
      <c r="D108" s="348"/>
      <c r="E108" s="348"/>
      <c r="F108" s="348"/>
      <c r="G108" s="348"/>
      <c r="H108" s="348"/>
      <c r="I108" s="348"/>
      <c r="J108" s="348"/>
      <c r="K108" s="348"/>
      <c r="L108" s="348"/>
      <c r="M108" s="348"/>
      <c r="N108" s="348"/>
      <c r="O108" s="348"/>
    </row>
    <row r="109" spans="2:15">
      <c r="B109" s="348"/>
      <c r="C109" s="348"/>
      <c r="D109" s="348"/>
      <c r="E109" s="348"/>
      <c r="F109" s="348"/>
      <c r="G109" s="348"/>
      <c r="H109" s="348"/>
      <c r="I109" s="348"/>
      <c r="J109" s="348"/>
      <c r="K109" s="348"/>
      <c r="L109" s="348"/>
      <c r="M109" s="348"/>
      <c r="N109" s="348"/>
      <c r="O109" s="348"/>
    </row>
    <row r="110" spans="2:15">
      <c r="B110" s="348"/>
      <c r="C110" s="348"/>
      <c r="D110" s="348"/>
      <c r="E110" s="348"/>
      <c r="F110" s="348"/>
      <c r="G110" s="348"/>
      <c r="H110" s="348"/>
      <c r="I110" s="348"/>
      <c r="J110" s="348"/>
      <c r="K110" s="348"/>
      <c r="L110" s="348"/>
      <c r="M110" s="348"/>
      <c r="N110" s="348"/>
      <c r="O110" s="348"/>
    </row>
    <row r="111" spans="2:15">
      <c r="B111" s="348"/>
      <c r="C111" s="348"/>
      <c r="D111" s="348"/>
      <c r="E111" s="348"/>
      <c r="F111" s="348"/>
      <c r="G111" s="348"/>
      <c r="H111" s="348"/>
      <c r="I111" s="348"/>
      <c r="J111" s="348"/>
      <c r="K111" s="348"/>
      <c r="L111" s="348"/>
      <c r="M111" s="348"/>
      <c r="N111" s="348"/>
      <c r="O111" s="348"/>
    </row>
    <row r="112" spans="2:15">
      <c r="B112" s="348"/>
      <c r="C112" s="348"/>
      <c r="D112" s="348"/>
      <c r="E112" s="348"/>
      <c r="F112" s="348"/>
      <c r="G112" s="348"/>
      <c r="H112" s="348"/>
      <c r="I112" s="348"/>
      <c r="J112" s="348"/>
      <c r="K112" s="348"/>
      <c r="L112" s="348"/>
      <c r="M112" s="348"/>
      <c r="N112" s="348"/>
      <c r="O112" s="348"/>
    </row>
  </sheetData>
  <sheetProtection sheet="1" objects="1" scenarios="1"/>
  <mergeCells count="68">
    <mergeCell ref="C72:D72"/>
    <mergeCell ref="C73:D73"/>
    <mergeCell ref="C33:D33"/>
    <mergeCell ref="C34:D34"/>
    <mergeCell ref="C51:D51"/>
    <mergeCell ref="C52:D52"/>
    <mergeCell ref="C66:D66"/>
    <mergeCell ref="C69:D69"/>
    <mergeCell ref="C70:D70"/>
    <mergeCell ref="C26:D26"/>
    <mergeCell ref="C27:D27"/>
    <mergeCell ref="C3:O3"/>
    <mergeCell ref="C4:D4"/>
    <mergeCell ref="C50:D50"/>
    <mergeCell ref="C35:D35"/>
    <mergeCell ref="C36:D36"/>
    <mergeCell ref="C37:D37"/>
    <mergeCell ref="C38:D38"/>
    <mergeCell ref="C39:D39"/>
    <mergeCell ref="C41:D41"/>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78:K78"/>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 ref="C71:D71"/>
  </mergeCells>
  <phoneticPr fontId="0" type="noConversion"/>
  <hyperlinks>
    <hyperlink ref="B4" location="Main!A74" display="Return to Main Budget" xr:uid="{00000000-0004-0000-0300-000000000000}"/>
  </hyperlinks>
  <pageMargins left="0.75" right="0.75" top="1" bottom="0.5" header="0.5" footer="0.5"/>
  <headerFooter alignWithMargins="0">
    <oddFooter>&amp;A</oddFooter>
  </headerFooter>
  <rowBreaks count="2" manualBreakCount="2">
    <brk id="43" min="2" max="14" man="1"/>
    <brk id="81" max="16383" man="1"/>
  </rowBreaks>
  <colBreaks count="1" manualBreakCount="1">
    <brk id="1"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C1:O86"/>
  <sheetViews>
    <sheetView topLeftCell="B1" zoomScale="125" zoomScaleNormal="125" zoomScalePageLayoutView="125" workbookViewId="0">
      <selection activeCell="H13" sqref="H13"/>
    </sheetView>
  </sheetViews>
  <sheetFormatPr defaultColWidth="8.77734375" defaultRowHeight="13.2"/>
  <cols>
    <col min="4" max="4" width="26.44140625" bestFit="1" customWidth="1"/>
    <col min="5" max="5" width="10.44140625" customWidth="1"/>
    <col min="6" max="6" width="15.77734375" bestFit="1" customWidth="1"/>
    <col min="9" max="9" width="13.44140625" bestFit="1" customWidth="1"/>
    <col min="10" max="10" width="12" customWidth="1"/>
    <col min="11" max="11" width="14.77734375" customWidth="1"/>
    <col min="12" max="12" width="26.109375" customWidth="1"/>
    <col min="13" max="13" width="9.77734375" bestFit="1" customWidth="1"/>
    <col min="14" max="15" width="9" bestFit="1" customWidth="1"/>
  </cols>
  <sheetData>
    <row r="1" spans="3:15" ht="39.6">
      <c r="L1" s="125" t="s">
        <v>497</v>
      </c>
      <c r="M1" s="126" t="s">
        <v>493</v>
      </c>
      <c r="N1" s="126" t="s">
        <v>499</v>
      </c>
      <c r="O1" s="126" t="s">
        <v>498</v>
      </c>
    </row>
    <row r="2" spans="3:15">
      <c r="D2" s="127" t="s">
        <v>483</v>
      </c>
      <c r="E2" s="127" t="s">
        <v>488</v>
      </c>
      <c r="F2" s="127" t="s">
        <v>489</v>
      </c>
      <c r="G2" s="127" t="s">
        <v>490</v>
      </c>
      <c r="L2" t="s">
        <v>495</v>
      </c>
      <c r="M2" s="122">
        <f>+conr_silage_milk+corn_silage_dry_herd+corn_silage_bred_hfrs+corn_silage_yng_hfrs</f>
        <v>6187.8830399999988</v>
      </c>
      <c r="N2" s="122">
        <v>25</v>
      </c>
      <c r="O2" s="123">
        <f>+M2/N2</f>
        <v>247.51532159999996</v>
      </c>
    </row>
    <row r="3" spans="3:15">
      <c r="D3" t="s">
        <v>484</v>
      </c>
      <c r="E3" s="114">
        <v>55</v>
      </c>
      <c r="F3" s="117">
        <v>0.35</v>
      </c>
      <c r="G3" s="114">
        <f>+(E3/F3)/2000</f>
        <v>7.857142857142857E-2</v>
      </c>
      <c r="L3" t="s">
        <v>485</v>
      </c>
      <c r="M3" s="122">
        <f>+winter_ann_sil_milking</f>
        <v>1355.5468800000001</v>
      </c>
      <c r="N3" s="122">
        <v>9</v>
      </c>
      <c r="O3" s="123">
        <f t="shared" ref="O3:O5" si="0">+M3/N3</f>
        <v>150.61632</v>
      </c>
    </row>
    <row r="4" spans="3:15">
      <c r="D4" t="s">
        <v>430</v>
      </c>
      <c r="E4" s="114">
        <v>45</v>
      </c>
      <c r="F4" s="117">
        <v>0.35</v>
      </c>
      <c r="G4" s="114">
        <f t="shared" ref="G4:G6" si="1">+(E4/F4)/2000</f>
        <v>6.4285714285714293E-2</v>
      </c>
      <c r="L4" t="s">
        <v>449</v>
      </c>
      <c r="M4" s="122">
        <f>+sorghum_sil_dry+sorghum_sialge_bred_hfrs</f>
        <v>784.23551999999995</v>
      </c>
      <c r="N4" s="122">
        <v>15</v>
      </c>
      <c r="O4" s="123">
        <f t="shared" si="0"/>
        <v>52.282367999999998</v>
      </c>
    </row>
    <row r="5" spans="3:15">
      <c r="D5" t="s">
        <v>486</v>
      </c>
      <c r="E5" s="114">
        <v>180</v>
      </c>
      <c r="F5" s="117">
        <v>0.9</v>
      </c>
      <c r="G5" s="114">
        <f t="shared" si="1"/>
        <v>0.1</v>
      </c>
      <c r="L5" t="s">
        <v>496</v>
      </c>
      <c r="M5" s="122">
        <f>+corn_milk+corn_dry+corn_hfrs+K71+corn_yng_hfrs</f>
        <v>920.12687999999991</v>
      </c>
      <c r="N5" s="122">
        <v>5</v>
      </c>
      <c r="O5" s="123">
        <f t="shared" si="0"/>
        <v>184.02537599999999</v>
      </c>
    </row>
    <row r="6" spans="3:15">
      <c r="D6" t="s">
        <v>487</v>
      </c>
      <c r="E6" s="114">
        <v>350</v>
      </c>
      <c r="F6" s="117">
        <v>0.9</v>
      </c>
      <c r="G6" s="114">
        <f t="shared" si="1"/>
        <v>0.19444444444444442</v>
      </c>
      <c r="L6" t="s">
        <v>494</v>
      </c>
      <c r="M6" s="122">
        <f>+t85_dry+t85_bred_hfrs+t85_young_hfrs</f>
        <v>343.05983999999995</v>
      </c>
      <c r="N6" s="122">
        <v>7</v>
      </c>
      <c r="O6" s="124">
        <f>+M6/N6</f>
        <v>49.008548571428562</v>
      </c>
    </row>
    <row r="8" spans="3:15" ht="26.4">
      <c r="D8" s="99" t="s">
        <v>423</v>
      </c>
      <c r="E8" s="100" t="s">
        <v>424</v>
      </c>
      <c r="F8" s="101" t="s">
        <v>425</v>
      </c>
      <c r="G8" s="102" t="s">
        <v>426</v>
      </c>
      <c r="H8" s="102" t="s">
        <v>427</v>
      </c>
      <c r="I8" s="102" t="s">
        <v>428</v>
      </c>
      <c r="J8" s="120" t="s">
        <v>491</v>
      </c>
      <c r="K8" s="119" t="s">
        <v>492</v>
      </c>
    </row>
    <row r="9" spans="3:15">
      <c r="C9" s="98" t="s">
        <v>452</v>
      </c>
    </row>
    <row r="10" spans="3:15">
      <c r="D10" s="103" t="s">
        <v>429</v>
      </c>
      <c r="E10" s="104">
        <v>35</v>
      </c>
      <c r="F10" s="116">
        <v>30.78</v>
      </c>
      <c r="G10" s="114">
        <f t="shared" ref="G10:G27" si="2">+F10/2000</f>
        <v>1.5390000000000001E-2</v>
      </c>
      <c r="H10" s="105">
        <v>62.856999999999999</v>
      </c>
      <c r="I10" s="105">
        <f t="shared" ref="I10:I21" si="3">H10*G10</f>
        <v>0.96736923000000008</v>
      </c>
      <c r="J10" s="121">
        <f>+H10*305/2000</f>
        <v>9.5856924999999986</v>
      </c>
      <c r="K10" s="2">
        <f t="shared" ref="K10:K27" si="4">+J10*lactations</f>
        <v>5521.3588799999989</v>
      </c>
    </row>
    <row r="11" spans="3:15">
      <c r="D11" s="103" t="s">
        <v>430</v>
      </c>
      <c r="E11" s="104">
        <v>32.4</v>
      </c>
      <c r="F11" s="116">
        <v>13.75</v>
      </c>
      <c r="G11" s="114">
        <f t="shared" si="2"/>
        <v>6.875E-3</v>
      </c>
      <c r="H11" s="105">
        <v>15.432</v>
      </c>
      <c r="I11" s="105">
        <f t="shared" si="3"/>
        <v>0.10609500000000001</v>
      </c>
      <c r="J11" s="121">
        <f t="shared" ref="J11:J27" si="5">+H11*305/2000</f>
        <v>2.35338</v>
      </c>
      <c r="K11" s="2">
        <f t="shared" si="4"/>
        <v>1355.5468800000001</v>
      </c>
    </row>
    <row r="12" spans="3:15">
      <c r="D12" s="103" t="s">
        <v>431</v>
      </c>
      <c r="E12" s="104">
        <v>24.5</v>
      </c>
      <c r="F12" s="103">
        <v>39</v>
      </c>
      <c r="G12" s="114">
        <f t="shared" si="2"/>
        <v>1.95E-2</v>
      </c>
      <c r="H12" s="105">
        <v>26.530999999999999</v>
      </c>
      <c r="I12" s="105">
        <f t="shared" si="3"/>
        <v>0.51735449999999994</v>
      </c>
      <c r="J12" s="121">
        <f t="shared" si="5"/>
        <v>4.0459775000000002</v>
      </c>
      <c r="K12" s="2">
        <f t="shared" si="4"/>
        <v>2330.4830400000001</v>
      </c>
    </row>
    <row r="13" spans="3:15">
      <c r="D13" s="103" t="s">
        <v>432</v>
      </c>
      <c r="E13" s="104">
        <v>88</v>
      </c>
      <c r="F13" s="118">
        <f>+$E5</f>
        <v>180</v>
      </c>
      <c r="G13" s="114">
        <f t="shared" si="2"/>
        <v>0.09</v>
      </c>
      <c r="H13" s="105">
        <v>9.0909999999999993</v>
      </c>
      <c r="I13" s="105">
        <f t="shared" si="3"/>
        <v>0.81818999999999986</v>
      </c>
      <c r="J13" s="121">
        <f t="shared" si="5"/>
        <v>1.3863774999999998</v>
      </c>
      <c r="K13" s="2">
        <f t="shared" si="4"/>
        <v>798.55343999999991</v>
      </c>
    </row>
    <row r="14" spans="3:15">
      <c r="D14" s="103" t="s">
        <v>434</v>
      </c>
      <c r="E14" s="104">
        <v>88.6</v>
      </c>
      <c r="F14" s="109">
        <v>180</v>
      </c>
      <c r="G14" s="114">
        <f t="shared" si="2"/>
        <v>0.09</v>
      </c>
      <c r="H14" s="105">
        <v>4.5149999999999997</v>
      </c>
      <c r="I14" s="105">
        <f t="shared" si="3"/>
        <v>0.40634999999999993</v>
      </c>
      <c r="J14" s="121">
        <f t="shared" si="5"/>
        <v>0.68853749999999991</v>
      </c>
      <c r="K14" s="2">
        <f t="shared" si="4"/>
        <v>396.59759999999994</v>
      </c>
    </row>
    <row r="15" spans="3:15">
      <c r="D15" s="103" t="s">
        <v>436</v>
      </c>
      <c r="E15" s="104">
        <v>90</v>
      </c>
      <c r="F15" s="109">
        <v>350</v>
      </c>
      <c r="G15" s="114">
        <f t="shared" si="2"/>
        <v>0.17499999999999999</v>
      </c>
      <c r="H15" s="105">
        <v>4.444</v>
      </c>
      <c r="I15" s="105">
        <f t="shared" si="3"/>
        <v>0.77769999999999995</v>
      </c>
      <c r="J15" s="121">
        <f t="shared" si="5"/>
        <v>0.67771000000000003</v>
      </c>
      <c r="K15" s="2">
        <f t="shared" si="4"/>
        <v>390.36096000000003</v>
      </c>
    </row>
    <row r="16" spans="3:15">
      <c r="D16" s="103" t="s">
        <v>437</v>
      </c>
      <c r="E16" s="104">
        <v>99</v>
      </c>
      <c r="F16" s="103">
        <v>597</v>
      </c>
      <c r="G16" s="114">
        <f t="shared" si="2"/>
        <v>0.29849999999999999</v>
      </c>
      <c r="H16" s="105">
        <v>0.152</v>
      </c>
      <c r="I16" s="105">
        <f t="shared" si="3"/>
        <v>4.5371999999999996E-2</v>
      </c>
      <c r="J16" s="121">
        <f t="shared" si="5"/>
        <v>2.3179999999999999E-2</v>
      </c>
      <c r="K16" s="2">
        <f t="shared" si="4"/>
        <v>13.35168</v>
      </c>
    </row>
    <row r="17" spans="3:11">
      <c r="D17" s="103" t="s">
        <v>438</v>
      </c>
      <c r="E17" s="104">
        <v>88</v>
      </c>
      <c r="F17" s="103">
        <v>560</v>
      </c>
      <c r="G17" s="114">
        <f t="shared" si="2"/>
        <v>0.28000000000000003</v>
      </c>
      <c r="H17" s="105">
        <v>2.1019999999999999</v>
      </c>
      <c r="I17" s="105">
        <f t="shared" si="3"/>
        <v>0.58855999999999997</v>
      </c>
      <c r="J17" s="121">
        <f t="shared" si="5"/>
        <v>0.32055500000000003</v>
      </c>
      <c r="K17" s="2">
        <f t="shared" si="4"/>
        <v>184.63968000000003</v>
      </c>
    </row>
    <row r="18" spans="3:11">
      <c r="D18" s="103" t="s">
        <v>439</v>
      </c>
      <c r="E18" s="104">
        <v>99.5</v>
      </c>
      <c r="F18" s="103">
        <v>154</v>
      </c>
      <c r="G18" s="114">
        <f t="shared" si="2"/>
        <v>7.6999999999999999E-2</v>
      </c>
      <c r="H18" s="105">
        <v>0.55300000000000005</v>
      </c>
      <c r="I18" s="105">
        <f t="shared" si="3"/>
        <v>4.2581000000000001E-2</v>
      </c>
      <c r="J18" s="121">
        <f t="shared" si="5"/>
        <v>8.4332500000000005E-2</v>
      </c>
      <c r="K18" s="2">
        <f t="shared" si="4"/>
        <v>48.575520000000004</v>
      </c>
    </row>
    <row r="19" spans="3:11">
      <c r="D19" s="103" t="s">
        <v>440</v>
      </c>
      <c r="E19" s="104">
        <v>99.5</v>
      </c>
      <c r="F19" s="103">
        <v>781</v>
      </c>
      <c r="G19" s="114">
        <f t="shared" si="2"/>
        <v>0.39050000000000001</v>
      </c>
      <c r="H19" s="105">
        <v>0.10100000000000001</v>
      </c>
      <c r="I19" s="105">
        <f t="shared" si="3"/>
        <v>3.9440500000000003E-2</v>
      </c>
      <c r="J19" s="121">
        <f t="shared" si="5"/>
        <v>1.5402500000000001E-2</v>
      </c>
      <c r="K19" s="2">
        <f t="shared" si="4"/>
        <v>8.8718400000000006</v>
      </c>
    </row>
    <row r="20" spans="3:11">
      <c r="D20" s="103" t="s">
        <v>441</v>
      </c>
      <c r="E20" s="104">
        <v>99.5</v>
      </c>
      <c r="F20" s="103">
        <v>589</v>
      </c>
      <c r="G20" s="114">
        <f t="shared" si="2"/>
        <v>0.29449999999999998</v>
      </c>
      <c r="H20" s="105">
        <v>0.10100000000000001</v>
      </c>
      <c r="I20" s="105">
        <f t="shared" si="3"/>
        <v>2.97445E-2</v>
      </c>
      <c r="J20" s="121">
        <f t="shared" si="5"/>
        <v>1.5402500000000001E-2</v>
      </c>
      <c r="K20" s="2">
        <f t="shared" si="4"/>
        <v>8.8718400000000006</v>
      </c>
    </row>
    <row r="21" spans="3:11">
      <c r="D21" s="103" t="s">
        <v>442</v>
      </c>
      <c r="E21" s="104">
        <v>99.5</v>
      </c>
      <c r="F21" s="103">
        <v>225</v>
      </c>
      <c r="G21" s="114">
        <f t="shared" si="2"/>
        <v>0.1125</v>
      </c>
      <c r="H21" s="105">
        <v>0.151</v>
      </c>
      <c r="I21" s="105">
        <f t="shared" si="3"/>
        <v>1.6987499999999999E-2</v>
      </c>
      <c r="J21" s="121">
        <f t="shared" si="5"/>
        <v>2.3027499999999999E-2</v>
      </c>
      <c r="K21" s="2">
        <f t="shared" si="4"/>
        <v>13.26384</v>
      </c>
    </row>
    <row r="22" spans="3:11">
      <c r="D22" s="103" t="s">
        <v>443</v>
      </c>
      <c r="E22" s="104">
        <v>99.5</v>
      </c>
      <c r="F22" s="103">
        <v>451</v>
      </c>
      <c r="G22" s="114">
        <f t="shared" si="2"/>
        <v>0.22550000000000001</v>
      </c>
      <c r="H22" s="105">
        <v>0.40200000000000002</v>
      </c>
      <c r="I22" s="105">
        <f t="shared" ref="I22:I27" si="6">H22*G22</f>
        <v>9.0651000000000009E-2</v>
      </c>
      <c r="J22" s="121">
        <f t="shared" si="5"/>
        <v>6.1305000000000005E-2</v>
      </c>
      <c r="K22" s="2">
        <f t="shared" si="4"/>
        <v>35.311680000000003</v>
      </c>
    </row>
    <row r="23" spans="3:11">
      <c r="D23" s="103" t="s">
        <v>444</v>
      </c>
      <c r="E23" s="104">
        <v>99.5</v>
      </c>
      <c r="F23" s="103">
        <v>1770</v>
      </c>
      <c r="G23" s="114">
        <f t="shared" si="2"/>
        <v>0.88500000000000001</v>
      </c>
      <c r="H23" s="105">
        <v>0.10100000000000001</v>
      </c>
      <c r="I23" s="105">
        <f t="shared" si="6"/>
        <v>8.9385000000000006E-2</v>
      </c>
      <c r="J23" s="121">
        <f t="shared" si="5"/>
        <v>1.5402500000000001E-2</v>
      </c>
      <c r="K23" s="2">
        <f t="shared" si="4"/>
        <v>8.8718400000000006</v>
      </c>
    </row>
    <row r="24" spans="3:11">
      <c r="D24" s="103" t="s">
        <v>445</v>
      </c>
      <c r="E24" s="104">
        <v>99.5</v>
      </c>
      <c r="F24" s="103">
        <v>623</v>
      </c>
      <c r="G24" s="114">
        <f t="shared" si="2"/>
        <v>0.3115</v>
      </c>
      <c r="H24" s="105">
        <v>0.151</v>
      </c>
      <c r="I24" s="105">
        <f t="shared" si="6"/>
        <v>4.7036499999999995E-2</v>
      </c>
      <c r="J24" s="121">
        <f t="shared" si="5"/>
        <v>2.3027499999999999E-2</v>
      </c>
      <c r="K24" s="2">
        <f t="shared" si="4"/>
        <v>13.26384</v>
      </c>
    </row>
    <row r="25" spans="3:11">
      <c r="D25" s="103" t="s">
        <v>446</v>
      </c>
      <c r="E25" s="104">
        <v>93</v>
      </c>
      <c r="F25" s="103">
        <v>1800</v>
      </c>
      <c r="G25" s="114">
        <f t="shared" si="2"/>
        <v>0.9</v>
      </c>
      <c r="H25" s="105">
        <v>0.13400000000000001</v>
      </c>
      <c r="I25" s="105">
        <f t="shared" si="6"/>
        <v>0.12060000000000001</v>
      </c>
      <c r="J25" s="121">
        <f t="shared" si="5"/>
        <v>2.0435000000000002E-2</v>
      </c>
      <c r="K25" s="2">
        <f t="shared" si="4"/>
        <v>11.770560000000001</v>
      </c>
    </row>
    <row r="26" spans="3:11">
      <c r="D26" s="103" t="s">
        <v>447</v>
      </c>
      <c r="E26" s="104">
        <v>93.1</v>
      </c>
      <c r="F26" s="103">
        <v>3998</v>
      </c>
      <c r="G26" s="114">
        <f t="shared" si="2"/>
        <v>1.9990000000000001</v>
      </c>
      <c r="H26" s="105">
        <v>2.1000000000000001E-2</v>
      </c>
      <c r="I26" s="105">
        <f t="shared" si="6"/>
        <v>4.1979000000000002E-2</v>
      </c>
      <c r="J26" s="121">
        <f t="shared" si="5"/>
        <v>3.2025000000000001E-3</v>
      </c>
      <c r="K26" s="2">
        <f t="shared" si="4"/>
        <v>1.8446400000000001</v>
      </c>
    </row>
    <row r="27" spans="3:11">
      <c r="D27" s="103" t="s">
        <v>448</v>
      </c>
      <c r="E27" s="104">
        <v>99.5</v>
      </c>
      <c r="F27" s="103">
        <v>1895</v>
      </c>
      <c r="G27" s="114">
        <f t="shared" si="2"/>
        <v>0.94750000000000001</v>
      </c>
      <c r="H27" s="105">
        <v>1.2999999999999999E-2</v>
      </c>
      <c r="I27" s="105">
        <f t="shared" si="6"/>
        <v>1.23175E-2</v>
      </c>
      <c r="J27" s="121">
        <f t="shared" si="5"/>
        <v>1.9824999999999999E-3</v>
      </c>
      <c r="K27" s="2">
        <f t="shared" si="4"/>
        <v>1.1419199999999998</v>
      </c>
    </row>
    <row r="28" spans="3:11">
      <c r="G28" s="107" t="s">
        <v>453</v>
      </c>
      <c r="H28" s="113">
        <f>+SUM(H10:H27)</f>
        <v>126.85199999999999</v>
      </c>
      <c r="I28" s="108">
        <f>SUM(I10:I27)*I29*I30</f>
        <v>870661.52109000005</v>
      </c>
      <c r="J28">
        <f>+I28/I29/I30</f>
        <v>4.7577132300000002</v>
      </c>
    </row>
    <row r="29" spans="3:11">
      <c r="G29" s="98" t="s">
        <v>454</v>
      </c>
      <c r="I29">
        <f>+cows</f>
        <v>600</v>
      </c>
    </row>
    <row r="30" spans="3:11">
      <c r="G30" s="98" t="s">
        <v>455</v>
      </c>
      <c r="I30">
        <v>305</v>
      </c>
    </row>
    <row r="31" spans="3:11">
      <c r="H31" s="98"/>
    </row>
    <row r="32" spans="3:11">
      <c r="C32" s="98" t="s">
        <v>7</v>
      </c>
    </row>
    <row r="33" spans="4:11">
      <c r="D33" s="103" t="s">
        <v>429</v>
      </c>
      <c r="E33" s="104">
        <v>35</v>
      </c>
      <c r="F33" s="116">
        <v>30.78</v>
      </c>
      <c r="G33" s="114">
        <f t="shared" ref="G33:G47" si="7">+F33/2000</f>
        <v>1.5390000000000001E-2</v>
      </c>
      <c r="H33" s="105">
        <v>17.143000000000001</v>
      </c>
      <c r="I33" s="105">
        <f>H33*G33</f>
        <v>0.26383077000000005</v>
      </c>
      <c r="J33" s="121">
        <f>+H33*60/2000</f>
        <v>0.51428999999999991</v>
      </c>
      <c r="K33" s="2">
        <f t="shared" ref="K33:K47" si="8">+J33*lactations</f>
        <v>296.23103999999995</v>
      </c>
    </row>
    <row r="34" spans="4:11">
      <c r="D34" s="103" t="s">
        <v>449</v>
      </c>
      <c r="E34" s="104">
        <v>32.28</v>
      </c>
      <c r="F34" s="116">
        <v>30.78</v>
      </c>
      <c r="G34" s="114">
        <f t="shared" si="7"/>
        <v>1.5390000000000001E-2</v>
      </c>
      <c r="H34">
        <v>16.263999999999999</v>
      </c>
      <c r="I34" s="105">
        <f t="shared" ref="I34:I41" si="9">H34*G34</f>
        <v>0.25030296000000002</v>
      </c>
      <c r="J34" s="121">
        <f t="shared" ref="J34:J47" si="10">+H34*60/2000</f>
        <v>0.48791999999999996</v>
      </c>
      <c r="K34" s="2">
        <f t="shared" si="8"/>
        <v>281.04192</v>
      </c>
    </row>
    <row r="35" spans="4:11">
      <c r="D35" s="103" t="s">
        <v>450</v>
      </c>
      <c r="E35" s="104">
        <v>92</v>
      </c>
      <c r="F35" s="103">
        <v>100</v>
      </c>
      <c r="G35" s="114">
        <f t="shared" si="7"/>
        <v>0.05</v>
      </c>
      <c r="H35">
        <v>12.69</v>
      </c>
      <c r="I35" s="105">
        <f t="shared" si="9"/>
        <v>0.63450000000000006</v>
      </c>
      <c r="J35" s="121">
        <f t="shared" si="10"/>
        <v>0.38069999999999998</v>
      </c>
      <c r="K35" s="2">
        <f t="shared" si="8"/>
        <v>219.28319999999999</v>
      </c>
    </row>
    <row r="36" spans="4:11">
      <c r="D36" s="103" t="s">
        <v>431</v>
      </c>
      <c r="E36" s="104">
        <v>24.5</v>
      </c>
      <c r="F36" s="104">
        <v>39</v>
      </c>
      <c r="G36" s="114">
        <f t="shared" si="7"/>
        <v>1.95E-2</v>
      </c>
      <c r="H36" s="105">
        <v>5.1020000000000003</v>
      </c>
      <c r="I36" s="105">
        <f t="shared" si="9"/>
        <v>9.9489000000000008E-2</v>
      </c>
      <c r="J36" s="121">
        <f t="shared" si="10"/>
        <v>0.15306</v>
      </c>
      <c r="K36" s="2">
        <f t="shared" si="8"/>
        <v>88.162559999999999</v>
      </c>
    </row>
    <row r="37" spans="4:11">
      <c r="D37" s="103" t="s">
        <v>432</v>
      </c>
      <c r="E37" s="104">
        <v>88</v>
      </c>
      <c r="F37" s="109">
        <f>F13</f>
        <v>180</v>
      </c>
      <c r="G37" s="114">
        <f t="shared" si="7"/>
        <v>0.09</v>
      </c>
      <c r="H37">
        <v>1.4205000000000001</v>
      </c>
      <c r="I37" s="105">
        <f t="shared" si="9"/>
        <v>0.12784500000000001</v>
      </c>
      <c r="J37" s="121">
        <f t="shared" si="10"/>
        <v>4.2615E-2</v>
      </c>
      <c r="K37" s="2">
        <f t="shared" si="8"/>
        <v>24.546240000000001</v>
      </c>
    </row>
    <row r="38" spans="4:11">
      <c r="D38" s="103" t="s">
        <v>433</v>
      </c>
      <c r="E38" s="104">
        <v>91</v>
      </c>
      <c r="F38" s="110" t="e">
        <f>#REF!</f>
        <v>#REF!</v>
      </c>
      <c r="G38" s="114" t="e">
        <f t="shared" si="7"/>
        <v>#REF!</v>
      </c>
      <c r="H38">
        <v>1.456</v>
      </c>
      <c r="I38" s="105" t="e">
        <f>H38*G38</f>
        <v>#REF!</v>
      </c>
      <c r="J38" s="121">
        <f t="shared" si="10"/>
        <v>4.3679999999999997E-2</v>
      </c>
      <c r="K38" s="2">
        <f t="shared" si="8"/>
        <v>25.159679999999998</v>
      </c>
    </row>
    <row r="39" spans="4:11">
      <c r="D39" s="103" t="s">
        <v>435</v>
      </c>
      <c r="E39" s="104">
        <v>89.7</v>
      </c>
      <c r="F39" s="110" t="e">
        <f>#REF!</f>
        <v>#REF!</v>
      </c>
      <c r="G39" s="114" t="e">
        <f t="shared" si="7"/>
        <v>#REF!</v>
      </c>
      <c r="H39" s="105">
        <v>1.3939999999999999</v>
      </c>
      <c r="I39" s="105" t="e">
        <f t="shared" si="9"/>
        <v>#REF!</v>
      </c>
      <c r="J39" s="121">
        <f t="shared" si="10"/>
        <v>4.1820000000000003E-2</v>
      </c>
      <c r="K39" s="2">
        <f t="shared" si="8"/>
        <v>24.088320000000003</v>
      </c>
    </row>
    <row r="40" spans="4:11">
      <c r="D40" s="103" t="s">
        <v>434</v>
      </c>
      <c r="E40" s="104">
        <v>88.6</v>
      </c>
      <c r="F40" s="110">
        <f>F14</f>
        <v>180</v>
      </c>
      <c r="G40" s="114">
        <f t="shared" si="7"/>
        <v>0.09</v>
      </c>
      <c r="H40" s="105">
        <v>1.6930000000000001</v>
      </c>
      <c r="I40" s="105">
        <f t="shared" si="9"/>
        <v>0.15237000000000001</v>
      </c>
      <c r="J40" s="121">
        <f t="shared" si="10"/>
        <v>5.0790000000000002E-2</v>
      </c>
      <c r="K40" s="2">
        <f t="shared" si="8"/>
        <v>29.255040000000001</v>
      </c>
    </row>
    <row r="41" spans="4:11">
      <c r="D41" s="103" t="s">
        <v>436</v>
      </c>
      <c r="E41" s="104">
        <v>90</v>
      </c>
      <c r="F41" s="109">
        <f>F15</f>
        <v>350</v>
      </c>
      <c r="G41" s="114">
        <f t="shared" si="7"/>
        <v>0.17499999999999999</v>
      </c>
      <c r="H41" s="106">
        <v>1.4165000000000001</v>
      </c>
      <c r="I41" s="105">
        <f t="shared" si="9"/>
        <v>0.24788750000000001</v>
      </c>
      <c r="J41" s="121">
        <f t="shared" si="10"/>
        <v>4.2495000000000005E-2</v>
      </c>
      <c r="K41" s="2">
        <f t="shared" si="8"/>
        <v>24.477120000000003</v>
      </c>
    </row>
    <row r="42" spans="4:11">
      <c r="D42" s="103" t="s">
        <v>451</v>
      </c>
      <c r="E42" s="104">
        <v>88</v>
      </c>
      <c r="F42" s="104">
        <v>560</v>
      </c>
      <c r="G42" s="114">
        <f t="shared" si="7"/>
        <v>0.28000000000000003</v>
      </c>
      <c r="H42" s="105">
        <v>1.43</v>
      </c>
      <c r="I42" s="105">
        <f t="shared" ref="I42:I47" si="11">H42*G42</f>
        <v>0.40040000000000003</v>
      </c>
      <c r="J42" s="121">
        <f t="shared" si="10"/>
        <v>4.2900000000000001E-2</v>
      </c>
      <c r="K42" s="2">
        <f t="shared" si="8"/>
        <v>24.7104</v>
      </c>
    </row>
    <row r="43" spans="4:11">
      <c r="D43" s="103" t="s">
        <v>438</v>
      </c>
      <c r="E43" s="104">
        <v>88</v>
      </c>
      <c r="F43" s="104">
        <v>560</v>
      </c>
      <c r="G43" s="114">
        <f t="shared" si="7"/>
        <v>0.28000000000000003</v>
      </c>
      <c r="H43" s="105">
        <v>1.9319999999999999</v>
      </c>
      <c r="I43" s="105">
        <f t="shared" si="11"/>
        <v>0.54096</v>
      </c>
      <c r="J43" s="121">
        <f t="shared" si="10"/>
        <v>5.7959999999999998E-2</v>
      </c>
      <c r="K43" s="2">
        <f t="shared" si="8"/>
        <v>33.38496</v>
      </c>
    </row>
    <row r="44" spans="4:11">
      <c r="D44" s="103" t="s">
        <v>442</v>
      </c>
      <c r="E44" s="104">
        <v>99.5</v>
      </c>
      <c r="F44" s="103">
        <v>225</v>
      </c>
      <c r="G44" s="114">
        <f t="shared" si="7"/>
        <v>0.1125</v>
      </c>
      <c r="H44" s="105">
        <v>0.151</v>
      </c>
      <c r="I44" s="105">
        <f t="shared" si="11"/>
        <v>1.6987499999999999E-2</v>
      </c>
      <c r="J44" s="121">
        <f t="shared" si="10"/>
        <v>4.5300000000000002E-3</v>
      </c>
      <c r="K44" s="2">
        <f t="shared" si="8"/>
        <v>2.60928</v>
      </c>
    </row>
    <row r="45" spans="4:11">
      <c r="D45" s="103" t="s">
        <v>439</v>
      </c>
      <c r="E45" s="104">
        <v>99.5</v>
      </c>
      <c r="F45" s="103">
        <v>154</v>
      </c>
      <c r="G45" s="114">
        <f t="shared" si="7"/>
        <v>7.6999999999999999E-2</v>
      </c>
      <c r="H45" s="105">
        <v>8.8999999999999996E-2</v>
      </c>
      <c r="I45" s="105">
        <f t="shared" si="11"/>
        <v>6.8529999999999997E-3</v>
      </c>
      <c r="J45" s="121">
        <f t="shared" si="10"/>
        <v>2.6700000000000001E-3</v>
      </c>
      <c r="K45" s="2">
        <f t="shared" si="8"/>
        <v>1.53792</v>
      </c>
    </row>
    <row r="46" spans="4:11">
      <c r="D46" s="103" t="s">
        <v>441</v>
      </c>
      <c r="E46" s="104">
        <v>99.5</v>
      </c>
      <c r="F46" s="103">
        <v>589</v>
      </c>
      <c r="G46" s="114">
        <f t="shared" si="7"/>
        <v>0.29449999999999998</v>
      </c>
      <c r="H46" s="105">
        <v>0.10100000000000001</v>
      </c>
      <c r="I46" s="105">
        <f t="shared" si="11"/>
        <v>2.97445E-2</v>
      </c>
      <c r="J46" s="121">
        <f t="shared" si="10"/>
        <v>3.0300000000000001E-3</v>
      </c>
      <c r="K46" s="2">
        <f t="shared" si="8"/>
        <v>1.7452800000000002</v>
      </c>
    </row>
    <row r="47" spans="4:11">
      <c r="D47" s="103" t="s">
        <v>448</v>
      </c>
      <c r="E47" s="104">
        <v>99.5</v>
      </c>
      <c r="F47" s="103">
        <v>1895</v>
      </c>
      <c r="G47" s="114">
        <f t="shared" si="7"/>
        <v>0.94750000000000001</v>
      </c>
      <c r="H47" s="105">
        <v>1.2E-2</v>
      </c>
      <c r="I47" s="105">
        <f t="shared" si="11"/>
        <v>1.137E-2</v>
      </c>
      <c r="J47" s="121">
        <f t="shared" si="10"/>
        <v>3.5999999999999997E-4</v>
      </c>
      <c r="K47" s="2">
        <f t="shared" si="8"/>
        <v>0.20735999999999999</v>
      </c>
    </row>
    <row r="48" spans="4:11">
      <c r="H48" s="107" t="s">
        <v>456</v>
      </c>
      <c r="I48" s="108" t="e">
        <f>SUM(I33:I47)*I49*I50</f>
        <v>#REF!</v>
      </c>
    </row>
    <row r="49" spans="3:11">
      <c r="H49" s="98" t="s">
        <v>454</v>
      </c>
      <c r="I49">
        <f>+cows</f>
        <v>600</v>
      </c>
    </row>
    <row r="50" spans="3:11">
      <c r="H50" s="98" t="s">
        <v>455</v>
      </c>
      <c r="I50">
        <v>60</v>
      </c>
    </row>
    <row r="51" spans="3:11" ht="26.4">
      <c r="E51" s="100" t="s">
        <v>424</v>
      </c>
      <c r="F51" s="101" t="s">
        <v>425</v>
      </c>
      <c r="G51" s="102" t="s">
        <v>426</v>
      </c>
      <c r="H51" s="102" t="s">
        <v>427</v>
      </c>
      <c r="I51" s="102" t="s">
        <v>428</v>
      </c>
      <c r="J51" s="120" t="s">
        <v>491</v>
      </c>
      <c r="K51" s="119" t="s">
        <v>492</v>
      </c>
    </row>
    <row r="52" spans="3:11">
      <c r="C52" s="98" t="s">
        <v>458</v>
      </c>
    </row>
    <row r="53" spans="3:11">
      <c r="D53" t="s">
        <v>429</v>
      </c>
      <c r="E53">
        <v>35</v>
      </c>
      <c r="F53" s="116">
        <v>30.78</v>
      </c>
      <c r="G53" s="114">
        <f t="shared" ref="G53:G62" si="12">+F53/2000</f>
        <v>1.5390000000000001E-2</v>
      </c>
      <c r="H53">
        <v>7.1429999999999998</v>
      </c>
      <c r="I53" s="113">
        <f>H53*G53</f>
        <v>0.10993077</v>
      </c>
      <c r="J53" s="121">
        <f t="shared" ref="J53:J62" si="13">+H53*60/2000</f>
        <v>0.21428999999999998</v>
      </c>
      <c r="K53" s="2">
        <f t="shared" ref="K53:K62" si="14">+J53*lactations</f>
        <v>123.43104</v>
      </c>
    </row>
    <row r="54" spans="3:11">
      <c r="D54" t="s">
        <v>449</v>
      </c>
      <c r="E54">
        <v>32.28</v>
      </c>
      <c r="F54" s="116">
        <v>30.78</v>
      </c>
      <c r="G54" s="114">
        <f t="shared" si="12"/>
        <v>1.5390000000000001E-2</v>
      </c>
      <c r="H54">
        <v>29.12</v>
      </c>
      <c r="I54" s="113">
        <f t="shared" ref="I54:I62" si="15">H54*G54</f>
        <v>0.44815680000000002</v>
      </c>
      <c r="J54" s="121">
        <f t="shared" si="13"/>
        <v>0.87360000000000004</v>
      </c>
      <c r="K54" s="2">
        <f t="shared" si="14"/>
        <v>503.1936</v>
      </c>
    </row>
    <row r="55" spans="3:11">
      <c r="D55" t="s">
        <v>450</v>
      </c>
      <c r="E55">
        <v>92</v>
      </c>
      <c r="F55">
        <v>100</v>
      </c>
      <c r="G55" s="114">
        <f t="shared" si="12"/>
        <v>0.05</v>
      </c>
      <c r="H55">
        <v>4.891</v>
      </c>
      <c r="I55" s="113">
        <f t="shared" si="15"/>
        <v>0.24455000000000002</v>
      </c>
      <c r="J55" s="121">
        <f t="shared" si="13"/>
        <v>0.14673</v>
      </c>
      <c r="K55" s="2">
        <f t="shared" si="14"/>
        <v>84.516480000000001</v>
      </c>
    </row>
    <row r="56" spans="3:11">
      <c r="D56" t="s">
        <v>431</v>
      </c>
      <c r="E56">
        <v>24.5</v>
      </c>
      <c r="F56">
        <v>39</v>
      </c>
      <c r="G56" s="114">
        <f t="shared" si="12"/>
        <v>1.95E-2</v>
      </c>
      <c r="H56">
        <v>6.1219999999999999</v>
      </c>
      <c r="I56" s="113">
        <f t="shared" si="15"/>
        <v>0.119379</v>
      </c>
      <c r="J56" s="121">
        <f t="shared" si="13"/>
        <v>0.18365999999999999</v>
      </c>
      <c r="K56" s="2">
        <f t="shared" si="14"/>
        <v>105.78815999999999</v>
      </c>
    </row>
    <row r="57" spans="3:11">
      <c r="D57" t="s">
        <v>432</v>
      </c>
      <c r="E57">
        <v>88</v>
      </c>
      <c r="F57" s="112">
        <f>F37</f>
        <v>180</v>
      </c>
      <c r="G57" s="114">
        <f t="shared" si="12"/>
        <v>0.09</v>
      </c>
      <c r="H57">
        <v>2.2730000000000001</v>
      </c>
      <c r="I57" s="113">
        <f t="shared" si="15"/>
        <v>0.20457</v>
      </c>
      <c r="J57" s="121">
        <f t="shared" si="13"/>
        <v>6.8190000000000001E-2</v>
      </c>
      <c r="K57" s="2">
        <f t="shared" si="14"/>
        <v>39.277439999999999</v>
      </c>
    </row>
    <row r="58" spans="3:11">
      <c r="D58" t="s">
        <v>433</v>
      </c>
      <c r="E58">
        <v>91</v>
      </c>
      <c r="F58" s="112" t="e">
        <f>F38</f>
        <v>#REF!</v>
      </c>
      <c r="G58" s="114" t="e">
        <f t="shared" si="12"/>
        <v>#REF!</v>
      </c>
      <c r="H58">
        <v>1.6930000000000001</v>
      </c>
      <c r="I58" s="113" t="e">
        <f>H58*G58</f>
        <v>#REF!</v>
      </c>
      <c r="J58" s="121">
        <f t="shared" si="13"/>
        <v>5.0790000000000002E-2</v>
      </c>
      <c r="K58" s="2">
        <f t="shared" si="14"/>
        <v>29.255040000000001</v>
      </c>
    </row>
    <row r="59" spans="3:11">
      <c r="D59" t="s">
        <v>439</v>
      </c>
      <c r="E59">
        <v>99.5</v>
      </c>
      <c r="F59">
        <v>154</v>
      </c>
      <c r="G59" s="114">
        <f t="shared" si="12"/>
        <v>7.6999999999999999E-2</v>
      </c>
      <c r="H59">
        <v>0.10100000000000001</v>
      </c>
      <c r="I59" s="113">
        <f t="shared" si="15"/>
        <v>7.7770000000000001E-3</v>
      </c>
      <c r="J59" s="121">
        <f t="shared" si="13"/>
        <v>3.0300000000000001E-3</v>
      </c>
      <c r="K59" s="2">
        <f t="shared" si="14"/>
        <v>1.7452800000000002</v>
      </c>
    </row>
    <row r="60" spans="3:11">
      <c r="D60" t="s">
        <v>441</v>
      </c>
      <c r="E60">
        <v>99.5</v>
      </c>
      <c r="F60">
        <v>589</v>
      </c>
      <c r="G60" s="114">
        <f t="shared" si="12"/>
        <v>0.29449999999999998</v>
      </c>
      <c r="H60">
        <v>0.05</v>
      </c>
      <c r="I60" s="113">
        <f t="shared" si="15"/>
        <v>1.4725E-2</v>
      </c>
      <c r="J60" s="121">
        <f t="shared" si="13"/>
        <v>1.5E-3</v>
      </c>
      <c r="K60" s="2">
        <f t="shared" si="14"/>
        <v>0.86399999999999999</v>
      </c>
    </row>
    <row r="61" spans="3:11">
      <c r="D61" t="s">
        <v>442</v>
      </c>
      <c r="E61">
        <v>99.5</v>
      </c>
      <c r="F61">
        <v>225</v>
      </c>
      <c r="G61" s="114">
        <f t="shared" si="12"/>
        <v>0.1125</v>
      </c>
      <c r="H61">
        <v>0.05</v>
      </c>
      <c r="I61" s="113">
        <f t="shared" si="15"/>
        <v>5.6250000000000007E-3</v>
      </c>
      <c r="J61" s="121">
        <f t="shared" si="13"/>
        <v>1.5E-3</v>
      </c>
      <c r="K61" s="2">
        <f t="shared" si="14"/>
        <v>0.86399999999999999</v>
      </c>
    </row>
    <row r="62" spans="3:11">
      <c r="D62" t="s">
        <v>448</v>
      </c>
      <c r="E62">
        <v>99.5</v>
      </c>
      <c r="F62">
        <v>1895</v>
      </c>
      <c r="G62" s="114">
        <f t="shared" si="12"/>
        <v>0.94750000000000001</v>
      </c>
      <c r="H62">
        <v>0.01</v>
      </c>
      <c r="I62" s="113">
        <f t="shared" si="15"/>
        <v>9.4750000000000008E-3</v>
      </c>
      <c r="J62" s="121">
        <f t="shared" si="13"/>
        <v>2.9999999999999997E-4</v>
      </c>
      <c r="K62" s="2">
        <f t="shared" si="14"/>
        <v>0.17279999999999998</v>
      </c>
    </row>
    <row r="63" spans="3:11">
      <c r="H63" s="98" t="s">
        <v>456</v>
      </c>
      <c r="I63" s="111" t="e">
        <f>SUM(I53:I62)*I64*I65</f>
        <v>#REF!</v>
      </c>
    </row>
    <row r="64" spans="3:11">
      <c r="H64" s="98" t="s">
        <v>454</v>
      </c>
      <c r="I64" s="2">
        <f>+Main!G100</f>
        <v>177.60000000000002</v>
      </c>
    </row>
    <row r="65" spans="3:11">
      <c r="H65" s="98" t="s">
        <v>455</v>
      </c>
      <c r="I65">
        <v>270</v>
      </c>
    </row>
    <row r="67" spans="3:11">
      <c r="C67" s="98" t="s">
        <v>457</v>
      </c>
    </row>
    <row r="68" spans="3:11">
      <c r="D68" s="103" t="s">
        <v>429</v>
      </c>
      <c r="E68" s="104">
        <v>35</v>
      </c>
      <c r="F68" s="116">
        <v>30.78</v>
      </c>
      <c r="G68" s="114">
        <f t="shared" ref="G68:G76" si="16">+F68/2000</f>
        <v>1.5390000000000001E-2</v>
      </c>
      <c r="H68" s="105">
        <v>14.286</v>
      </c>
      <c r="I68" s="105">
        <f>H68*G68</f>
        <v>0.21986153999999999</v>
      </c>
      <c r="J68" s="121">
        <f t="shared" ref="J68:J76" si="17">+H68*60/2000</f>
        <v>0.42857999999999996</v>
      </c>
      <c r="K68" s="2">
        <f t="shared" ref="K68:K76" si="18">+J68*lactations</f>
        <v>246.86207999999999</v>
      </c>
    </row>
    <row r="69" spans="3:11">
      <c r="D69" s="103" t="s">
        <v>450</v>
      </c>
      <c r="E69" s="104">
        <v>92</v>
      </c>
      <c r="F69" s="103">
        <v>100</v>
      </c>
      <c r="G69" s="114">
        <f t="shared" si="16"/>
        <v>0.05</v>
      </c>
      <c r="H69" s="105">
        <v>2.2719999999999998</v>
      </c>
      <c r="I69" s="105">
        <f t="shared" ref="I69:I76" si="19">H69*G69</f>
        <v>0.11359999999999999</v>
      </c>
      <c r="J69" s="121">
        <f t="shared" si="17"/>
        <v>6.8159999999999998E-2</v>
      </c>
      <c r="K69" s="2">
        <f t="shared" si="18"/>
        <v>39.260159999999999</v>
      </c>
    </row>
    <row r="70" spans="3:11">
      <c r="D70" s="103" t="s">
        <v>432</v>
      </c>
      <c r="E70" s="104">
        <v>88</v>
      </c>
      <c r="F70" s="109">
        <f>F37</f>
        <v>180</v>
      </c>
      <c r="G70" s="114">
        <f t="shared" si="16"/>
        <v>0.09</v>
      </c>
      <c r="H70" s="105">
        <v>1.3640000000000001</v>
      </c>
      <c r="I70" s="105">
        <f t="shared" si="19"/>
        <v>0.12276000000000001</v>
      </c>
      <c r="J70" s="121">
        <f t="shared" si="17"/>
        <v>4.0920000000000005E-2</v>
      </c>
      <c r="K70" s="2">
        <f t="shared" si="18"/>
        <v>23.569920000000003</v>
      </c>
    </row>
    <row r="71" spans="3:11">
      <c r="D71" s="103" t="s">
        <v>433</v>
      </c>
      <c r="E71" s="104">
        <v>91</v>
      </c>
      <c r="F71" s="109" t="e">
        <f>F38</f>
        <v>#REF!</v>
      </c>
      <c r="G71" s="114" t="e">
        <f t="shared" si="16"/>
        <v>#REF!</v>
      </c>
      <c r="H71" s="105">
        <v>1.978</v>
      </c>
      <c r="I71" s="105" t="e">
        <f t="shared" si="19"/>
        <v>#REF!</v>
      </c>
      <c r="J71" s="121">
        <f t="shared" si="17"/>
        <v>5.9339999999999997E-2</v>
      </c>
      <c r="K71" s="2">
        <f t="shared" si="18"/>
        <v>34.179839999999999</v>
      </c>
    </row>
    <row r="72" spans="3:11">
      <c r="D72" s="103" t="s">
        <v>435</v>
      </c>
      <c r="E72" s="104">
        <v>89.7</v>
      </c>
      <c r="F72" s="109" t="e">
        <f>F39</f>
        <v>#REF!</v>
      </c>
      <c r="G72" s="114" t="e">
        <f t="shared" si="16"/>
        <v>#REF!</v>
      </c>
      <c r="H72" s="105">
        <v>2.0070000000000001</v>
      </c>
      <c r="I72" s="105" t="e">
        <f t="shared" si="19"/>
        <v>#REF!</v>
      </c>
      <c r="J72" s="121">
        <f t="shared" si="17"/>
        <v>6.021E-2</v>
      </c>
      <c r="K72" s="2">
        <f t="shared" si="18"/>
        <v>34.680959999999999</v>
      </c>
    </row>
    <row r="73" spans="3:11">
      <c r="D73" s="103" t="s">
        <v>436</v>
      </c>
      <c r="E73" s="104">
        <v>90</v>
      </c>
      <c r="F73" s="109">
        <f>F41</f>
        <v>350</v>
      </c>
      <c r="G73" s="114">
        <f t="shared" si="16"/>
        <v>0.17499999999999999</v>
      </c>
      <c r="H73" s="105">
        <v>0.27800000000000002</v>
      </c>
      <c r="I73" s="105">
        <f t="shared" si="19"/>
        <v>4.8649999999999999E-2</v>
      </c>
      <c r="J73" s="121">
        <f t="shared" si="17"/>
        <v>8.3400000000000002E-3</v>
      </c>
      <c r="K73" s="2">
        <f t="shared" si="18"/>
        <v>4.8038400000000001</v>
      </c>
    </row>
    <row r="74" spans="3:11">
      <c r="D74" s="103" t="s">
        <v>439</v>
      </c>
      <c r="E74" s="104">
        <v>99.5</v>
      </c>
      <c r="F74" s="103">
        <v>154</v>
      </c>
      <c r="G74" s="114">
        <f t="shared" si="16"/>
        <v>7.6999999999999999E-2</v>
      </c>
      <c r="H74" s="105">
        <v>0.10100000000000001</v>
      </c>
      <c r="I74" s="105">
        <f>H74*G74</f>
        <v>7.7770000000000001E-3</v>
      </c>
      <c r="J74" s="121">
        <f t="shared" si="17"/>
        <v>3.0300000000000001E-3</v>
      </c>
      <c r="K74" s="2">
        <f t="shared" si="18"/>
        <v>1.7452800000000002</v>
      </c>
    </row>
    <row r="75" spans="3:11">
      <c r="D75" s="103" t="s">
        <v>442</v>
      </c>
      <c r="E75" s="104">
        <v>99.5</v>
      </c>
      <c r="F75" s="103">
        <v>225</v>
      </c>
      <c r="G75" s="114">
        <f t="shared" si="16"/>
        <v>0.1125</v>
      </c>
      <c r="H75" s="105">
        <v>0.05</v>
      </c>
      <c r="I75" s="105">
        <f t="shared" si="19"/>
        <v>5.6250000000000007E-3</v>
      </c>
      <c r="J75" s="121">
        <f t="shared" si="17"/>
        <v>1.5E-3</v>
      </c>
      <c r="K75" s="2">
        <f t="shared" si="18"/>
        <v>0.86399999999999999</v>
      </c>
    </row>
    <row r="76" spans="3:11">
      <c r="D76" s="103" t="s">
        <v>448</v>
      </c>
      <c r="E76" s="104">
        <v>99.5</v>
      </c>
      <c r="F76" s="103">
        <v>1895</v>
      </c>
      <c r="G76" s="114">
        <f t="shared" si="16"/>
        <v>0.94750000000000001</v>
      </c>
      <c r="H76" s="105">
        <v>6.0000000000000001E-3</v>
      </c>
      <c r="I76" s="105">
        <f t="shared" si="19"/>
        <v>5.6849999999999999E-3</v>
      </c>
      <c r="J76" s="121">
        <f t="shared" si="17"/>
        <v>1.7999999999999998E-4</v>
      </c>
      <c r="K76" s="2">
        <f t="shared" si="18"/>
        <v>0.10367999999999999</v>
      </c>
    </row>
    <row r="77" spans="3:11">
      <c r="H77" s="107" t="s">
        <v>456</v>
      </c>
      <c r="I77" s="108" t="e">
        <f>SUM(I68:I76)*I78*I79</f>
        <v>#REF!</v>
      </c>
      <c r="J77" t="e">
        <f>+I77/I78/I79</f>
        <v>#REF!</v>
      </c>
    </row>
    <row r="78" spans="3:11">
      <c r="H78" s="98" t="s">
        <v>454</v>
      </c>
      <c r="I78" s="2">
        <f>+Main!G100</f>
        <v>177.60000000000002</v>
      </c>
    </row>
    <row r="79" spans="3:11">
      <c r="H79" s="98" t="s">
        <v>455</v>
      </c>
      <c r="I79">
        <v>365</v>
      </c>
    </row>
    <row r="81" spans="3:11">
      <c r="C81" s="98" t="s">
        <v>97</v>
      </c>
    </row>
    <row r="82" spans="3:11">
      <c r="D82" t="s">
        <v>459</v>
      </c>
      <c r="E82">
        <v>95</v>
      </c>
      <c r="F82">
        <v>80</v>
      </c>
      <c r="G82" s="114">
        <f>+F82/50</f>
        <v>1.6</v>
      </c>
      <c r="H82">
        <v>1.8</v>
      </c>
      <c r="I82">
        <f>H82*G82</f>
        <v>2.8800000000000003</v>
      </c>
      <c r="J82" s="121">
        <f t="shared" ref="J82:J83" si="20">+H82*60/2000</f>
        <v>5.3999999999999999E-2</v>
      </c>
      <c r="K82" s="2">
        <f>+J82*lactations</f>
        <v>31.103999999999999</v>
      </c>
    </row>
    <row r="83" spans="3:11">
      <c r="D83" t="s">
        <v>460</v>
      </c>
      <c r="E83">
        <v>90</v>
      </c>
      <c r="F83">
        <v>550</v>
      </c>
      <c r="G83" s="114">
        <f>+F83/2000</f>
        <v>0.27500000000000002</v>
      </c>
      <c r="H83">
        <v>1</v>
      </c>
      <c r="I83">
        <f>H83*G83</f>
        <v>0.27500000000000002</v>
      </c>
      <c r="J83" s="121">
        <f t="shared" si="20"/>
        <v>0.03</v>
      </c>
      <c r="K83" s="2">
        <f>+J83*lactations</f>
        <v>17.28</v>
      </c>
    </row>
    <row r="84" spans="3:11">
      <c r="H84" s="98" t="s">
        <v>456</v>
      </c>
      <c r="I84" s="111">
        <f>SUM(I82:I83)*I85*I86</f>
        <v>53004.000000000007</v>
      </c>
      <c r="J84">
        <f>+I84/I85/I86</f>
        <v>3.1550000000000007</v>
      </c>
    </row>
    <row r="85" spans="3:11">
      <c r="H85" s="98" t="s">
        <v>454</v>
      </c>
      <c r="I85">
        <f>+cows*0.5</f>
        <v>300</v>
      </c>
    </row>
    <row r="86" spans="3:11">
      <c r="H86" s="98" t="s">
        <v>455</v>
      </c>
      <c r="I86">
        <v>56</v>
      </c>
    </row>
  </sheetData>
  <phoneticPr fontId="19"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AA73"/>
  <sheetViews>
    <sheetView topLeftCell="A21" workbookViewId="0">
      <selection activeCell="L51" sqref="L51"/>
    </sheetView>
  </sheetViews>
  <sheetFormatPr defaultColWidth="8.77734375" defaultRowHeight="13.2"/>
  <cols>
    <col min="1" max="1" width="4.44140625" customWidth="1"/>
    <col min="2" max="2" width="6.109375" customWidth="1"/>
    <col min="3" max="3" width="17.44140625" customWidth="1"/>
    <col min="4" max="4" width="12.77734375" customWidth="1"/>
    <col min="5" max="5" width="10.109375" customWidth="1"/>
    <col min="6" max="6" width="11.109375" customWidth="1"/>
    <col min="7" max="7" width="10.109375" customWidth="1"/>
    <col min="8" max="8" width="11.109375" customWidth="1"/>
    <col min="9" max="9" width="12.109375" customWidth="1"/>
    <col min="10" max="10" width="11.109375" customWidth="1"/>
    <col min="11" max="11" width="16.77734375" customWidth="1"/>
    <col min="12" max="12" width="11.109375" customWidth="1"/>
    <col min="27" max="27" width="9.44140625" bestFit="1" customWidth="1"/>
  </cols>
  <sheetData>
    <row r="1" spans="2:13">
      <c r="E1" s="30"/>
    </row>
    <row r="3" spans="2:13">
      <c r="B3" s="7" t="s">
        <v>109</v>
      </c>
      <c r="C3" s="7"/>
      <c r="D3" s="5"/>
      <c r="E3" s="5"/>
      <c r="F3" s="7"/>
      <c r="G3" s="5"/>
      <c r="H3" s="7"/>
      <c r="I3" s="7"/>
      <c r="J3" s="7"/>
      <c r="K3" s="7"/>
      <c r="L3" s="7"/>
    </row>
    <row r="4" spans="2:13">
      <c r="L4" s="20" t="s">
        <v>15</v>
      </c>
    </row>
    <row r="5" spans="2:13">
      <c r="B5" s="8"/>
      <c r="C5" s="15"/>
      <c r="D5" s="16"/>
      <c r="E5" s="12"/>
      <c r="F5" s="12" t="s">
        <v>94</v>
      </c>
      <c r="G5" s="25" t="s">
        <v>110</v>
      </c>
      <c r="H5" s="12" t="s">
        <v>358</v>
      </c>
      <c r="I5" s="12" t="s">
        <v>11</v>
      </c>
      <c r="J5" s="12" t="s">
        <v>111</v>
      </c>
      <c r="K5" s="12" t="s">
        <v>112</v>
      </c>
      <c r="L5" s="12" t="s">
        <v>113</v>
      </c>
    </row>
    <row r="6" spans="2:13">
      <c r="B6" s="6" t="s">
        <v>114</v>
      </c>
      <c r="C6" s="10"/>
      <c r="D6" s="17"/>
      <c r="E6" s="13" t="s">
        <v>95</v>
      </c>
      <c r="F6" s="13" t="s">
        <v>96</v>
      </c>
      <c r="G6" s="26" t="s">
        <v>115</v>
      </c>
      <c r="H6" s="13" t="s">
        <v>116</v>
      </c>
      <c r="I6" s="13" t="s">
        <v>116</v>
      </c>
      <c r="J6" s="13" t="s">
        <v>117</v>
      </c>
      <c r="K6" s="13" t="s">
        <v>116</v>
      </c>
      <c r="L6" s="13" t="s">
        <v>118</v>
      </c>
    </row>
    <row r="7" spans="2:13">
      <c r="M7" s="1" t="s">
        <v>15</v>
      </c>
    </row>
    <row r="8" spans="2:13">
      <c r="B8" s="544" t="s">
        <v>119</v>
      </c>
      <c r="C8" s="544"/>
    </row>
    <row r="9" spans="2:13">
      <c r="B9" t="s">
        <v>23</v>
      </c>
      <c r="E9" s="2">
        <f>Main!H16</f>
        <v>600</v>
      </c>
      <c r="F9" s="33">
        <f>Fixed_Cost!F6</f>
        <v>2250</v>
      </c>
      <c r="G9" s="34">
        <f>E9*F9</f>
        <v>1350000</v>
      </c>
      <c r="H9" s="23">
        <v>0.5</v>
      </c>
      <c r="I9" s="41">
        <f>+H9*G9</f>
        <v>675000</v>
      </c>
      <c r="J9" s="24">
        <v>9.5000000000000001E-2</v>
      </c>
      <c r="K9" s="19">
        <v>7</v>
      </c>
      <c r="L9" s="31">
        <f>PMT(J9,K9,-I9)</f>
        <v>136374.3199733973</v>
      </c>
    </row>
    <row r="10" spans="2:13">
      <c r="B10" t="s">
        <v>8</v>
      </c>
      <c r="E10" s="2">
        <f>(Main!H18*0.5)*(1-Main!H27)</f>
        <v>253.44</v>
      </c>
      <c r="F10" s="33">
        <f>Fixed_Cost!F7</f>
        <v>2500</v>
      </c>
      <c r="G10" s="34">
        <f>E10*F10</f>
        <v>633600</v>
      </c>
      <c r="H10" s="23">
        <f>H9</f>
        <v>0.5</v>
      </c>
      <c r="I10" s="41">
        <f>+H10*G10</f>
        <v>316800</v>
      </c>
      <c r="J10" s="24">
        <f>J9</f>
        <v>9.5000000000000001E-2</v>
      </c>
      <c r="K10" s="19">
        <f>K9</f>
        <v>7</v>
      </c>
      <c r="L10" s="31">
        <f>PMT(J10,K10,-I10)</f>
        <v>64005.014174181131</v>
      </c>
    </row>
    <row r="11" spans="2:13">
      <c r="B11" t="s">
        <v>8</v>
      </c>
      <c r="E11" s="2">
        <f>(Main!H18*0.5)*(1-Main!H27)</f>
        <v>253.44</v>
      </c>
      <c r="F11" s="33">
        <f>Fixed_Cost!F8</f>
        <v>1350</v>
      </c>
      <c r="G11" s="34">
        <f>E11*F11</f>
        <v>342144</v>
      </c>
      <c r="H11" s="23">
        <f>H9</f>
        <v>0.5</v>
      </c>
      <c r="I11" s="41">
        <f>+H11*G11</f>
        <v>171072</v>
      </c>
      <c r="J11" s="24">
        <f>J9</f>
        <v>9.5000000000000001E-2</v>
      </c>
      <c r="K11" s="19">
        <f>K9</f>
        <v>7</v>
      </c>
      <c r="L11" s="31">
        <f>PMT(J11,K11,-I11)</f>
        <v>34562.707654057813</v>
      </c>
    </row>
    <row r="12" spans="2:13" ht="13.8" thickBot="1">
      <c r="B12" t="s">
        <v>97</v>
      </c>
      <c r="E12" s="2">
        <f>(Main!H18*0.5)*(1-Main!H27*0.67)</f>
        <v>264.84479999999996</v>
      </c>
      <c r="F12" s="33">
        <f>Fixed_Cost!F9</f>
        <v>850</v>
      </c>
      <c r="G12" s="77">
        <f>E12*F12</f>
        <v>225118.07999999996</v>
      </c>
      <c r="H12" s="23">
        <f>H9</f>
        <v>0.5</v>
      </c>
      <c r="I12" s="41">
        <f>+H12*G12</f>
        <v>112559.03999999998</v>
      </c>
      <c r="J12" s="24">
        <f>J9</f>
        <v>9.5000000000000001E-2</v>
      </c>
      <c r="K12" s="19">
        <f>K9</f>
        <v>7</v>
      </c>
      <c r="L12" s="31">
        <f>PMT(J12,K12,-I12)</f>
        <v>22740.981536086554</v>
      </c>
    </row>
    <row r="13" spans="2:13" ht="13.8" thickBot="1">
      <c r="B13" s="545" t="s">
        <v>336</v>
      </c>
      <c r="C13" s="546"/>
      <c r="D13" s="71"/>
      <c r="E13" s="71"/>
      <c r="F13" s="78"/>
      <c r="G13" s="78">
        <f>SUM(G9:G12)</f>
        <v>2550862.08</v>
      </c>
      <c r="H13" s="79"/>
      <c r="I13" s="78">
        <f>SUM(I9:I12)</f>
        <v>1275431.04</v>
      </c>
      <c r="J13" s="71"/>
      <c r="K13" s="79"/>
    </row>
    <row r="14" spans="2:13">
      <c r="B14" s="4"/>
      <c r="C14" s="4"/>
      <c r="D14" s="4"/>
      <c r="E14" s="4"/>
      <c r="F14" s="4"/>
      <c r="G14" s="4"/>
      <c r="H14" s="4"/>
      <c r="I14" s="4"/>
      <c r="J14" s="4"/>
      <c r="K14" s="4"/>
      <c r="L14" s="4"/>
    </row>
    <row r="15" spans="2:13">
      <c r="B15" s="544" t="s">
        <v>120</v>
      </c>
      <c r="C15" s="544"/>
      <c r="G15" s="19"/>
      <c r="H15" s="19"/>
      <c r="I15" s="19"/>
      <c r="K15" s="19"/>
      <c r="L15" s="19"/>
    </row>
    <row r="16" spans="2:13">
      <c r="B16" t="s">
        <v>121</v>
      </c>
      <c r="E16" s="2" t="s">
        <v>15</v>
      </c>
      <c r="F16" s="31" t="s">
        <v>15</v>
      </c>
      <c r="G16" s="31">
        <f>IF(Main!H16&lt;600,180000,300*Main!H16)</f>
        <v>180000</v>
      </c>
      <c r="H16" s="23">
        <f>H9</f>
        <v>0.5</v>
      </c>
      <c r="I16" s="41">
        <f t="shared" ref="I16:I27" si="0">+H16*G16</f>
        <v>90000</v>
      </c>
      <c r="J16" s="24">
        <f>J9</f>
        <v>9.5000000000000001E-2</v>
      </c>
      <c r="K16" s="19">
        <v>30</v>
      </c>
      <c r="L16" s="31">
        <f t="shared" ref="L16:L27" si="1">PMT(J16,K16,-I16)</f>
        <v>9151.2526008276709</v>
      </c>
    </row>
    <row r="17" spans="2:12">
      <c r="B17" t="s">
        <v>106</v>
      </c>
      <c r="E17" s="2" t="s">
        <v>15</v>
      </c>
      <c r="F17" s="31" t="s">
        <v>15</v>
      </c>
      <c r="G17" s="31">
        <f>IF(Main!H16&lt;600,29000,110*(Fixed_Cost!E9+Fixed_Cost!E8))</f>
        <v>0</v>
      </c>
      <c r="H17" s="23">
        <f>H16</f>
        <v>0.5</v>
      </c>
      <c r="I17" s="41">
        <f t="shared" si="0"/>
        <v>0</v>
      </c>
      <c r="J17" s="24">
        <f>J16</f>
        <v>9.5000000000000001E-2</v>
      </c>
      <c r="K17" s="19">
        <f>K16</f>
        <v>30</v>
      </c>
      <c r="L17" s="31">
        <f t="shared" si="1"/>
        <v>0</v>
      </c>
    </row>
    <row r="18" spans="2:12">
      <c r="B18" t="s">
        <v>99</v>
      </c>
      <c r="F18" s="34"/>
      <c r="G18" s="31">
        <f>IF(Main!H16&lt;600,360000,600*Main!H16)</f>
        <v>360000</v>
      </c>
      <c r="H18" s="23">
        <f>H16</f>
        <v>0.5</v>
      </c>
      <c r="I18" s="41">
        <f t="shared" si="0"/>
        <v>180000</v>
      </c>
      <c r="J18" s="24">
        <f>J16</f>
        <v>9.5000000000000001E-2</v>
      </c>
      <c r="K18" s="19">
        <f>K16</f>
        <v>30</v>
      </c>
      <c r="L18" s="31">
        <f t="shared" si="1"/>
        <v>18302.505201655342</v>
      </c>
    </row>
    <row r="19" spans="2:12">
      <c r="B19" t="s">
        <v>102</v>
      </c>
      <c r="F19" s="34"/>
      <c r="G19" s="31">
        <f>IF(Main!H16&lt;600,24000,40*Main!H16)</f>
        <v>24000</v>
      </c>
      <c r="H19" s="23">
        <f>H16</f>
        <v>0.5</v>
      </c>
      <c r="I19" s="41">
        <f t="shared" si="0"/>
        <v>12000</v>
      </c>
      <c r="J19" s="24">
        <f>J16</f>
        <v>9.5000000000000001E-2</v>
      </c>
      <c r="K19" s="19">
        <f>K16</f>
        <v>30</v>
      </c>
      <c r="L19" s="31">
        <f t="shared" si="1"/>
        <v>1220.1670134436895</v>
      </c>
    </row>
    <row r="20" spans="2:12">
      <c r="B20" t="s">
        <v>105</v>
      </c>
      <c r="F20" s="34"/>
      <c r="G20" s="31">
        <f>IF(Main!H16&lt;600,15000,25*Main!H16)</f>
        <v>15000</v>
      </c>
      <c r="H20" s="23">
        <f>H16</f>
        <v>0.5</v>
      </c>
      <c r="I20" s="41">
        <f t="shared" si="0"/>
        <v>7500</v>
      </c>
      <c r="J20" s="24">
        <f>J16</f>
        <v>9.5000000000000001E-2</v>
      </c>
      <c r="K20" s="19">
        <f>K16</f>
        <v>30</v>
      </c>
      <c r="L20" s="31">
        <f t="shared" si="1"/>
        <v>762.60438340230587</v>
      </c>
    </row>
    <row r="21" spans="2:12">
      <c r="B21" t="s">
        <v>122</v>
      </c>
      <c r="F21" s="34"/>
      <c r="G21" s="31">
        <f>IF(Main!H16&lt;600,90000,150*Main!H16)</f>
        <v>90000</v>
      </c>
      <c r="H21" s="23">
        <f>H16</f>
        <v>0.5</v>
      </c>
      <c r="I21" s="41">
        <f t="shared" si="0"/>
        <v>45000</v>
      </c>
      <c r="J21" s="24">
        <f>J16</f>
        <v>9.5000000000000001E-2</v>
      </c>
      <c r="K21" s="19">
        <f>K16</f>
        <v>30</v>
      </c>
      <c r="L21" s="31">
        <f t="shared" si="1"/>
        <v>4575.6263004138355</v>
      </c>
    </row>
    <row r="22" spans="2:12">
      <c r="B22" t="s">
        <v>98</v>
      </c>
      <c r="F22" s="3" t="s">
        <v>15</v>
      </c>
      <c r="G22" s="31">
        <f>IF(Main!H16&lt;600,60000,100*Main!H16)</f>
        <v>60000</v>
      </c>
      <c r="H22" s="23">
        <f>H9</f>
        <v>0.5</v>
      </c>
      <c r="I22" s="41">
        <f t="shared" si="0"/>
        <v>30000</v>
      </c>
      <c r="J22" s="24">
        <f>J9</f>
        <v>9.5000000000000001E-2</v>
      </c>
      <c r="K22" s="19">
        <v>30</v>
      </c>
      <c r="L22" s="31">
        <f t="shared" si="1"/>
        <v>3050.4175336092235</v>
      </c>
    </row>
    <row r="23" spans="2:12">
      <c r="B23" t="s">
        <v>100</v>
      </c>
      <c r="E23" s="2" t="s">
        <v>15</v>
      </c>
      <c r="F23" s="3" t="s">
        <v>15</v>
      </c>
      <c r="G23" s="31">
        <f>IF(Main!H16&lt;600,51000,85*Main!H16)</f>
        <v>51000</v>
      </c>
      <c r="H23" s="23">
        <f>H22</f>
        <v>0.5</v>
      </c>
      <c r="I23" s="41">
        <f t="shared" si="0"/>
        <v>25500</v>
      </c>
      <c r="J23" s="24">
        <f>J22</f>
        <v>9.5000000000000001E-2</v>
      </c>
      <c r="K23" s="19">
        <f>K22</f>
        <v>30</v>
      </c>
      <c r="L23" s="31">
        <f t="shared" si="1"/>
        <v>2592.8549035678398</v>
      </c>
    </row>
    <row r="24" spans="2:12">
      <c r="B24" t="s">
        <v>320</v>
      </c>
      <c r="E24" s="2" t="s">
        <v>15</v>
      </c>
      <c r="F24" s="3" t="s">
        <v>15</v>
      </c>
      <c r="G24" s="31">
        <f>IF(Main!H16&lt;600,10000,16.666666*Main!H16)</f>
        <v>9999.9995999999992</v>
      </c>
      <c r="H24" s="23">
        <f>H22</f>
        <v>0.5</v>
      </c>
      <c r="I24" s="41">
        <f t="shared" si="0"/>
        <v>4999.9997999999996</v>
      </c>
      <c r="J24" s="24">
        <f>J22</f>
        <v>9.5000000000000001E-2</v>
      </c>
      <c r="K24" s="19">
        <f>K22</f>
        <v>30</v>
      </c>
      <c r="L24" s="31">
        <f t="shared" si="1"/>
        <v>508.40290193208699</v>
      </c>
    </row>
    <row r="25" spans="2:12">
      <c r="B25" t="s">
        <v>101</v>
      </c>
      <c r="E25" s="22"/>
      <c r="F25" s="3" t="s">
        <v>15</v>
      </c>
      <c r="G25" s="31">
        <f>IF(Main!H16&lt;600,24000,40*Main!H16)</f>
        <v>24000</v>
      </c>
      <c r="H25" s="23">
        <f>H22</f>
        <v>0.5</v>
      </c>
      <c r="I25" s="41">
        <f t="shared" si="0"/>
        <v>12000</v>
      </c>
      <c r="J25" s="24">
        <f>J22</f>
        <v>9.5000000000000001E-2</v>
      </c>
      <c r="K25" s="19">
        <f>K22</f>
        <v>30</v>
      </c>
      <c r="L25" s="31">
        <f t="shared" si="1"/>
        <v>1220.1670134436895</v>
      </c>
    </row>
    <row r="26" spans="2:12">
      <c r="B26" t="s">
        <v>103</v>
      </c>
      <c r="E26" s="22"/>
      <c r="G26" s="31">
        <f>IF(Main!H16&lt;600,36000,60*Main!H16)</f>
        <v>36000</v>
      </c>
      <c r="H26" s="23">
        <f>H22</f>
        <v>0.5</v>
      </c>
      <c r="I26" s="41">
        <f t="shared" si="0"/>
        <v>18000</v>
      </c>
      <c r="J26" s="24">
        <f>J22</f>
        <v>9.5000000000000001E-2</v>
      </c>
      <c r="K26" s="19">
        <f>K22</f>
        <v>30</v>
      </c>
      <c r="L26" s="31">
        <f t="shared" si="1"/>
        <v>1830.250520165534</v>
      </c>
    </row>
    <row r="27" spans="2:12" ht="13.8" thickBot="1">
      <c r="B27" s="51" t="s">
        <v>104</v>
      </c>
      <c r="C27" s="51"/>
      <c r="D27" s="51"/>
      <c r="E27" s="52" t="s">
        <v>15</v>
      </c>
      <c r="F27" s="53" t="s">
        <v>15</v>
      </c>
      <c r="G27" s="40">
        <f>IF(Main!H16&lt;600,15000,25*Main!H16)</f>
        <v>15000</v>
      </c>
      <c r="H27" s="39">
        <f>H22</f>
        <v>0.5</v>
      </c>
      <c r="I27" s="56">
        <f t="shared" si="0"/>
        <v>7500</v>
      </c>
      <c r="J27" s="54">
        <f>J22</f>
        <v>9.5000000000000001E-2</v>
      </c>
      <c r="K27" s="38">
        <f>K22</f>
        <v>30</v>
      </c>
      <c r="L27" s="40">
        <f t="shared" si="1"/>
        <v>762.60438340230587</v>
      </c>
    </row>
    <row r="28" spans="2:12" ht="13.8" thickBot="1">
      <c r="B28" s="70" t="s">
        <v>359</v>
      </c>
      <c r="C28" s="71"/>
      <c r="D28" s="71"/>
      <c r="E28" s="72"/>
      <c r="F28" s="73"/>
      <c r="G28" s="69">
        <f>+SUM(G16:G27)</f>
        <v>864999.99959999998</v>
      </c>
      <c r="H28" s="74"/>
      <c r="I28" s="69">
        <f>+SUM(I16:I27)</f>
        <v>432499.99979999999</v>
      </c>
      <c r="J28" s="75"/>
      <c r="K28" s="76"/>
    </row>
    <row r="29" spans="2:12">
      <c r="E29" s="2"/>
      <c r="F29" s="3"/>
      <c r="G29" s="31"/>
      <c r="H29" s="23"/>
      <c r="I29" s="23"/>
      <c r="J29" s="24"/>
      <c r="K29" s="19"/>
      <c r="L29" s="31"/>
    </row>
    <row r="30" spans="2:12" s="1" customFormat="1">
      <c r="B30" s="544" t="s">
        <v>335</v>
      </c>
      <c r="C30" s="544"/>
      <c r="E30" s="42"/>
      <c r="F30" s="43"/>
      <c r="G30" s="44"/>
      <c r="H30" s="43"/>
      <c r="I30" s="43"/>
      <c r="J30" s="43"/>
    </row>
    <row r="31" spans="2:12" s="1" customFormat="1">
      <c r="B31" s="36" t="s">
        <v>101</v>
      </c>
      <c r="C31" s="36"/>
      <c r="F31" s="32"/>
      <c r="G31" s="31">
        <v>100000</v>
      </c>
      <c r="H31" s="23">
        <f t="shared" ref="H31:H41" si="2">H23</f>
        <v>0.5</v>
      </c>
      <c r="I31" s="41">
        <f t="shared" ref="I31:I41" si="3">+H31*G31</f>
        <v>50000</v>
      </c>
      <c r="J31" s="24">
        <f t="shared" ref="J31:J41" si="4">J23</f>
        <v>9.5000000000000001E-2</v>
      </c>
      <c r="K31" s="19">
        <v>10</v>
      </c>
      <c r="L31" s="31">
        <f t="shared" ref="L31:L41" si="5">PMT(J31,K31,-I31)</f>
        <v>7963.307583184911</v>
      </c>
    </row>
    <row r="32" spans="2:12" s="1" customFormat="1">
      <c r="B32" s="36" t="s">
        <v>350</v>
      </c>
      <c r="C32" s="36"/>
      <c r="F32" s="32"/>
      <c r="G32" s="31">
        <v>50000</v>
      </c>
      <c r="H32" s="23">
        <f t="shared" si="2"/>
        <v>0.5</v>
      </c>
      <c r="I32" s="41">
        <f t="shared" si="3"/>
        <v>25000</v>
      </c>
      <c r="J32" s="24">
        <f t="shared" si="4"/>
        <v>9.5000000000000001E-2</v>
      </c>
      <c r="K32" s="19">
        <v>10</v>
      </c>
      <c r="L32" s="31">
        <f t="shared" si="5"/>
        <v>3981.6537915924555</v>
      </c>
    </row>
    <row r="33" spans="2:12" s="1" customFormat="1">
      <c r="B33" s="36" t="s">
        <v>351</v>
      </c>
      <c r="C33" s="36"/>
      <c r="F33" s="32"/>
      <c r="G33" s="31">
        <v>5000</v>
      </c>
      <c r="H33" s="23">
        <f t="shared" si="2"/>
        <v>0.5</v>
      </c>
      <c r="I33" s="41">
        <f t="shared" si="3"/>
        <v>2500</v>
      </c>
      <c r="J33" s="24">
        <f t="shared" si="4"/>
        <v>9.5000000000000001E-2</v>
      </c>
      <c r="K33" s="19">
        <v>10</v>
      </c>
      <c r="L33" s="31">
        <f t="shared" si="5"/>
        <v>398.16537915924556</v>
      </c>
    </row>
    <row r="34" spans="2:12" s="1" customFormat="1">
      <c r="B34" s="36" t="s">
        <v>352</v>
      </c>
      <c r="C34" s="36"/>
      <c r="F34" s="32"/>
      <c r="G34" s="31">
        <v>75000</v>
      </c>
      <c r="H34" s="23">
        <f t="shared" si="2"/>
        <v>0.5</v>
      </c>
      <c r="I34" s="41">
        <f t="shared" si="3"/>
        <v>37500</v>
      </c>
      <c r="J34" s="24">
        <f t="shared" si="4"/>
        <v>9.5000000000000001E-2</v>
      </c>
      <c r="K34" s="19">
        <v>10</v>
      </c>
      <c r="L34" s="31">
        <f t="shared" si="5"/>
        <v>5972.4806873886828</v>
      </c>
    </row>
    <row r="35" spans="2:12" s="1" customFormat="1">
      <c r="B35" s="36" t="s">
        <v>353</v>
      </c>
      <c r="C35" s="36"/>
      <c r="E35" s="19" t="s">
        <v>15</v>
      </c>
      <c r="F35" s="31" t="s">
        <v>15</v>
      </c>
      <c r="G35" s="31">
        <v>15000</v>
      </c>
      <c r="H35" s="23">
        <f t="shared" si="2"/>
        <v>0.5</v>
      </c>
      <c r="I35" s="41">
        <f t="shared" si="3"/>
        <v>7500</v>
      </c>
      <c r="J35" s="24">
        <f t="shared" si="4"/>
        <v>9.5000000000000001E-2</v>
      </c>
      <c r="K35" s="19">
        <v>10</v>
      </c>
      <c r="L35" s="31">
        <f t="shared" si="5"/>
        <v>1194.4961374777365</v>
      </c>
    </row>
    <row r="36" spans="2:12" s="1" customFormat="1">
      <c r="B36" s="36" t="s">
        <v>354</v>
      </c>
      <c r="C36" s="36"/>
      <c r="E36" s="19" t="s">
        <v>15</v>
      </c>
      <c r="F36" s="31" t="s">
        <v>15</v>
      </c>
      <c r="G36" s="31">
        <v>20000</v>
      </c>
      <c r="H36" s="23">
        <f t="shared" si="2"/>
        <v>0</v>
      </c>
      <c r="I36" s="41">
        <f t="shared" si="3"/>
        <v>0</v>
      </c>
      <c r="J36" s="24">
        <f t="shared" si="4"/>
        <v>0</v>
      </c>
      <c r="K36" s="19">
        <v>10</v>
      </c>
      <c r="L36" s="31">
        <f t="shared" si="5"/>
        <v>0</v>
      </c>
    </row>
    <row r="37" spans="2:12" s="1" customFormat="1">
      <c r="B37" s="36" t="s">
        <v>348</v>
      </c>
      <c r="C37" s="36"/>
      <c r="E37" s="19" t="s">
        <v>15</v>
      </c>
      <c r="F37" s="31" t="s">
        <v>15</v>
      </c>
      <c r="G37" s="31">
        <v>0</v>
      </c>
      <c r="H37" s="23">
        <f t="shared" si="2"/>
        <v>0</v>
      </c>
      <c r="I37" s="41">
        <f t="shared" si="3"/>
        <v>0</v>
      </c>
      <c r="J37" s="24">
        <f t="shared" si="4"/>
        <v>0</v>
      </c>
      <c r="K37" s="19">
        <v>10</v>
      </c>
      <c r="L37" s="31">
        <f t="shared" si="5"/>
        <v>0</v>
      </c>
    </row>
    <row r="38" spans="2:12" s="1" customFormat="1">
      <c r="B38" s="36" t="s">
        <v>348</v>
      </c>
      <c r="C38" s="36"/>
      <c r="E38" s="19"/>
      <c r="F38" s="32"/>
      <c r="G38" s="31">
        <v>0</v>
      </c>
      <c r="H38" s="23">
        <f t="shared" si="2"/>
        <v>0</v>
      </c>
      <c r="I38" s="41">
        <f t="shared" si="3"/>
        <v>0</v>
      </c>
      <c r="J38" s="24">
        <f t="shared" si="4"/>
        <v>0</v>
      </c>
      <c r="K38" s="19">
        <v>10</v>
      </c>
      <c r="L38" s="31">
        <f t="shared" si="5"/>
        <v>0</v>
      </c>
    </row>
    <row r="39" spans="2:12" s="1" customFormat="1">
      <c r="B39" s="36" t="s">
        <v>348</v>
      </c>
      <c r="C39" s="36"/>
      <c r="E39" s="19" t="s">
        <v>15</v>
      </c>
      <c r="F39" s="31" t="s">
        <v>15</v>
      </c>
      <c r="G39" s="31">
        <v>0</v>
      </c>
      <c r="H39" s="23">
        <f t="shared" si="2"/>
        <v>0.5</v>
      </c>
      <c r="I39" s="41">
        <f t="shared" si="3"/>
        <v>0</v>
      </c>
      <c r="J39" s="24">
        <f t="shared" si="4"/>
        <v>9.5000000000000001E-2</v>
      </c>
      <c r="K39" s="19">
        <v>10</v>
      </c>
      <c r="L39" s="31">
        <f t="shared" si="5"/>
        <v>0</v>
      </c>
    </row>
    <row r="40" spans="2:12" s="1" customFormat="1">
      <c r="B40" s="36" t="s">
        <v>348</v>
      </c>
      <c r="C40" s="36"/>
      <c r="F40" s="31" t="s">
        <v>15</v>
      </c>
      <c r="G40" s="31">
        <v>0</v>
      </c>
      <c r="H40" s="23">
        <f t="shared" si="2"/>
        <v>0.5</v>
      </c>
      <c r="I40" s="41">
        <f t="shared" si="3"/>
        <v>0</v>
      </c>
      <c r="J40" s="24">
        <f t="shared" si="4"/>
        <v>9.5000000000000001E-2</v>
      </c>
      <c r="K40" s="19">
        <v>10</v>
      </c>
      <c r="L40" s="31">
        <f t="shared" si="5"/>
        <v>0</v>
      </c>
    </row>
    <row r="41" spans="2:12" s="1" customFormat="1" ht="13.8" thickBot="1">
      <c r="B41" s="64" t="s">
        <v>348</v>
      </c>
      <c r="C41" s="64"/>
      <c r="D41" s="37"/>
      <c r="E41" s="37"/>
      <c r="F41" s="43" t="s">
        <v>15</v>
      </c>
      <c r="G41" s="43">
        <v>0</v>
      </c>
      <c r="H41" s="65">
        <f t="shared" si="2"/>
        <v>0.5</v>
      </c>
      <c r="I41" s="66">
        <f t="shared" si="3"/>
        <v>0</v>
      </c>
      <c r="J41" s="67">
        <f t="shared" si="4"/>
        <v>9.5000000000000001E-2</v>
      </c>
      <c r="K41" s="68">
        <v>10</v>
      </c>
      <c r="L41" s="43">
        <f t="shared" si="5"/>
        <v>0</v>
      </c>
    </row>
    <row r="42" spans="2:12" s="1" customFormat="1" ht="13.8" thickBot="1">
      <c r="B42" s="58" t="s">
        <v>349</v>
      </c>
      <c r="C42" s="59"/>
      <c r="D42" s="63"/>
      <c r="E42" s="60"/>
      <c r="F42" s="61"/>
      <c r="G42" s="69">
        <f>+SUM(G31:G41)</f>
        <v>265000</v>
      </c>
      <c r="H42" s="62"/>
      <c r="I42" s="62">
        <f>+SUM(I31:I41)</f>
        <v>122500</v>
      </c>
      <c r="J42" s="69"/>
      <c r="K42" s="63"/>
    </row>
    <row r="43" spans="2:12" s="1" customFormat="1">
      <c r="B43" s="45"/>
      <c r="C43" s="45"/>
      <c r="E43" s="46"/>
      <c r="F43" s="47"/>
      <c r="G43" s="48"/>
      <c r="H43" s="49"/>
      <c r="I43" s="50"/>
      <c r="J43" s="48"/>
      <c r="L43" s="32"/>
    </row>
    <row r="44" spans="2:12" s="1" customFormat="1">
      <c r="B44" s="45"/>
      <c r="C44" s="45"/>
      <c r="E44" s="46"/>
      <c r="F44" s="47"/>
      <c r="G44" s="48"/>
      <c r="H44" s="49"/>
      <c r="I44" s="50"/>
      <c r="J44" s="48"/>
      <c r="L44" s="32"/>
    </row>
    <row r="45" spans="2:12" s="1" customFormat="1">
      <c r="B45" s="83" t="s">
        <v>361</v>
      </c>
      <c r="C45" s="83"/>
      <c r="D45" s="83"/>
      <c r="E45" s="42"/>
      <c r="F45" s="43"/>
      <c r="G45" s="44"/>
      <c r="H45" s="43"/>
      <c r="I45" s="43"/>
      <c r="J45" s="43"/>
    </row>
    <row r="46" spans="2:12" ht="13.8" thickBot="1">
      <c r="B46" s="51" t="s">
        <v>319</v>
      </c>
      <c r="C46" s="51"/>
      <c r="D46" s="51"/>
      <c r="E46" s="51"/>
      <c r="F46" s="53" t="s">
        <v>15</v>
      </c>
      <c r="G46" s="55">
        <f>IF(Main!H16&lt;600,250000,416*Main!H16)</f>
        <v>249600</v>
      </c>
      <c r="H46" s="39">
        <f>H22</f>
        <v>0.5</v>
      </c>
      <c r="I46" s="56">
        <f>+H46*G46</f>
        <v>124800</v>
      </c>
      <c r="J46" s="54">
        <f>J22</f>
        <v>9.5000000000000001E-2</v>
      </c>
      <c r="K46" s="38">
        <f>K22</f>
        <v>30</v>
      </c>
      <c r="L46" s="40">
        <f>PMT(J46,K46,-I46)</f>
        <v>12689.736939814369</v>
      </c>
    </row>
    <row r="47" spans="2:12" ht="13.8" thickBot="1">
      <c r="B47" t="s">
        <v>107</v>
      </c>
      <c r="E47" s="2" t="s">
        <v>15</v>
      </c>
      <c r="F47" s="3" t="s">
        <v>15</v>
      </c>
      <c r="G47" s="31">
        <f>IF(Main!H16&lt;600,60000,100*Main!H16)</f>
        <v>60000</v>
      </c>
      <c r="H47" s="23">
        <f>H22</f>
        <v>0.5</v>
      </c>
      <c r="I47" s="41">
        <f>+H47*G47</f>
        <v>30000</v>
      </c>
      <c r="J47" s="24">
        <f>J22</f>
        <v>9.5000000000000001E-2</v>
      </c>
      <c r="K47" s="19">
        <f>K22</f>
        <v>30</v>
      </c>
      <c r="L47" s="31">
        <f>PMT(J47,K47,-I47)</f>
        <v>3050.4175336092235</v>
      </c>
    </row>
    <row r="48" spans="2:12">
      <c r="B48" s="84" t="s">
        <v>360</v>
      </c>
      <c r="C48" s="85"/>
      <c r="D48" s="85"/>
      <c r="E48" s="85"/>
      <c r="F48" s="85"/>
      <c r="G48" s="86">
        <f>+G47+G46</f>
        <v>309600</v>
      </c>
      <c r="H48" s="87"/>
      <c r="I48" s="87">
        <f>+I47+I46</f>
        <v>154800</v>
      </c>
      <c r="J48" s="85"/>
      <c r="K48" s="87"/>
    </row>
    <row r="49" spans="2:27" s="90" customFormat="1">
      <c r="B49" s="88"/>
      <c r="C49" s="88"/>
      <c r="D49" s="88"/>
      <c r="E49" s="88"/>
      <c r="F49" s="88"/>
      <c r="G49" s="89"/>
      <c r="H49" s="89"/>
      <c r="I49" s="89"/>
      <c r="J49" s="89"/>
      <c r="K49" s="89"/>
      <c r="L49" s="89"/>
    </row>
    <row r="50" spans="2:27" s="90" customFormat="1">
      <c r="B50" s="4"/>
      <c r="C50" s="4"/>
      <c r="D50" s="4"/>
      <c r="E50" s="4"/>
      <c r="F50" s="4"/>
      <c r="G50" s="4"/>
      <c r="H50" s="4"/>
      <c r="I50" s="4"/>
      <c r="J50" s="4"/>
      <c r="K50" s="4"/>
      <c r="L50" s="4"/>
    </row>
    <row r="51" spans="2:27" ht="13.8" thickBot="1">
      <c r="B51" s="91" t="s">
        <v>108</v>
      </c>
      <c r="C51" s="51"/>
      <c r="D51" s="51"/>
      <c r="E51" s="38">
        <f>+Fixed_Cost!E78</f>
        <v>0</v>
      </c>
      <c r="F51" s="40">
        <f>+Fixed_Cost!F78</f>
        <v>0</v>
      </c>
      <c r="G51" s="55">
        <f>E51*F51</f>
        <v>0</v>
      </c>
      <c r="H51" s="39">
        <f>H16</f>
        <v>0.5</v>
      </c>
      <c r="I51" s="56">
        <f>+H51*G51</f>
        <v>0</v>
      </c>
      <c r="J51" s="54">
        <f>J16</f>
        <v>9.5000000000000001E-2</v>
      </c>
      <c r="K51" s="38">
        <f>K16</f>
        <v>30</v>
      </c>
    </row>
    <row r="52" spans="2:27" ht="13.8" thickBot="1">
      <c r="B52" s="548" t="s">
        <v>362</v>
      </c>
      <c r="C52" s="549"/>
      <c r="D52" s="549"/>
      <c r="E52" s="549"/>
      <c r="F52" s="92"/>
      <c r="G52" s="92">
        <f>+G51+G48+G42+G28+G13</f>
        <v>3990462.0795999998</v>
      </c>
      <c r="H52" s="93"/>
      <c r="I52" s="92">
        <f>+I51+I48+I42+I28+I13</f>
        <v>1985231.0397999999</v>
      </c>
      <c r="J52" s="94"/>
      <c r="K52" s="93"/>
      <c r="L52" s="95">
        <f>+land_pmt+equip_pmt+WASTE_MGMT_PMT+facil_pmt+lvstk_pmt</f>
        <v>331564.41511158075</v>
      </c>
    </row>
    <row r="56" spans="2:27">
      <c r="B56" s="9" t="s">
        <v>124</v>
      </c>
      <c r="C56" s="14"/>
      <c r="D56" s="14"/>
      <c r="E56" s="14"/>
      <c r="F56" s="14"/>
      <c r="G56" s="14"/>
      <c r="H56" s="14"/>
      <c r="I56" s="14"/>
      <c r="J56" s="14"/>
    </row>
    <row r="57" spans="2:27">
      <c r="B57" t="s">
        <v>125</v>
      </c>
    </row>
    <row r="58" spans="2:27">
      <c r="B58" t="s">
        <v>126</v>
      </c>
    </row>
    <row r="59" spans="2:27">
      <c r="C59" s="9"/>
      <c r="D59" s="18"/>
      <c r="E59" s="16"/>
      <c r="F59" s="18" t="s">
        <v>111</v>
      </c>
      <c r="G59" s="16"/>
      <c r="H59" s="29"/>
      <c r="I59" s="11"/>
      <c r="J59" s="12" t="s">
        <v>127</v>
      </c>
    </row>
    <row r="60" spans="2:27">
      <c r="D60" s="28" t="s">
        <v>128</v>
      </c>
      <c r="E60" s="17"/>
      <c r="F60" s="28" t="s">
        <v>117</v>
      </c>
      <c r="G60" s="17"/>
      <c r="H60" s="28" t="s">
        <v>129</v>
      </c>
      <c r="I60" s="27"/>
      <c r="J60" s="13" t="s">
        <v>118</v>
      </c>
      <c r="AA60" s="21" t="e">
        <f>PMT(F61,H61,-D61)</f>
        <v>#NUM!</v>
      </c>
    </row>
    <row r="61" spans="2:27">
      <c r="B61" s="1" t="s">
        <v>130</v>
      </c>
      <c r="D61" s="31">
        <v>0</v>
      </c>
      <c r="E61" s="22"/>
      <c r="F61" s="24">
        <v>0</v>
      </c>
      <c r="G61" s="22"/>
      <c r="H61" s="22">
        <v>0</v>
      </c>
      <c r="J61" s="32">
        <f>IF(H61&gt;0,AA60,0)</f>
        <v>0</v>
      </c>
      <c r="AA61" s="21" t="e">
        <f>PMT(F62,H62,-D62)</f>
        <v>#NUM!</v>
      </c>
    </row>
    <row r="62" spans="2:27">
      <c r="B62" s="1" t="s">
        <v>131</v>
      </c>
      <c r="D62" s="31">
        <v>0</v>
      </c>
      <c r="E62" s="22"/>
      <c r="F62" s="24">
        <v>0</v>
      </c>
      <c r="G62" s="22"/>
      <c r="H62" s="22">
        <v>0</v>
      </c>
      <c r="J62" s="32">
        <f>IF(H62&gt;0,AA61,0)</f>
        <v>0</v>
      </c>
      <c r="AA62" s="21" t="e">
        <f>PMT(F63,H63,-D63)</f>
        <v>#NUM!</v>
      </c>
    </row>
    <row r="63" spans="2:27">
      <c r="B63" s="1" t="s">
        <v>132</v>
      </c>
      <c r="D63" s="31">
        <v>0</v>
      </c>
      <c r="E63" s="22"/>
      <c r="F63" s="24">
        <v>0</v>
      </c>
      <c r="G63" s="22"/>
      <c r="H63" s="22">
        <v>0</v>
      </c>
      <c r="J63" s="32">
        <f>IF(H63&gt;0,AA62,0)</f>
        <v>0</v>
      </c>
      <c r="AA63" s="21" t="e">
        <f>PMT(F64,H64,-D64)</f>
        <v>#NUM!</v>
      </c>
    </row>
    <row r="64" spans="2:27">
      <c r="B64" s="1" t="s">
        <v>133</v>
      </c>
      <c r="D64" s="31">
        <v>0</v>
      </c>
      <c r="E64" s="22"/>
      <c r="F64" s="24">
        <v>0</v>
      </c>
      <c r="G64" s="22"/>
      <c r="H64" s="22">
        <v>0</v>
      </c>
      <c r="J64" s="32">
        <f>IF(H64&gt;0,AA63,0)</f>
        <v>0</v>
      </c>
      <c r="AA64" s="21" t="e">
        <f>PMT(F65,H65,-D65)</f>
        <v>#NUM!</v>
      </c>
    </row>
    <row r="65" spans="2:13" ht="13.8" thickBot="1">
      <c r="B65" s="57" t="s">
        <v>134</v>
      </c>
      <c r="C65" s="51"/>
      <c r="D65" s="40">
        <v>0</v>
      </c>
      <c r="E65" s="96"/>
      <c r="F65" s="54">
        <v>0</v>
      </c>
      <c r="G65" s="96"/>
      <c r="H65" s="96">
        <v>0</v>
      </c>
      <c r="I65" s="51"/>
      <c r="J65" s="97">
        <f>IF(H65&gt;0,AA64,0)</f>
        <v>0</v>
      </c>
    </row>
    <row r="66" spans="2:13">
      <c r="B66" s="547" t="s">
        <v>363</v>
      </c>
      <c r="C66" s="547"/>
      <c r="J66" s="34">
        <f>+SUM(J61:J65)</f>
        <v>0</v>
      </c>
    </row>
    <row r="67" spans="2:13" ht="13.8" thickBot="1"/>
    <row r="68" spans="2:13" ht="13.8" thickBot="1">
      <c r="B68" s="80" t="s">
        <v>123</v>
      </c>
      <c r="C68" s="81"/>
      <c r="D68" s="81"/>
      <c r="E68" s="81"/>
      <c r="F68" s="82">
        <f>+J66+L52</f>
        <v>331564.41511158075</v>
      </c>
    </row>
    <row r="73" spans="2:13">
      <c r="M73" s="1" t="s">
        <v>15</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3"/>
  <sheetViews>
    <sheetView workbookViewId="0">
      <selection activeCell="F46" sqref="F46"/>
    </sheetView>
  </sheetViews>
  <sheetFormatPr defaultColWidth="10.77734375" defaultRowHeight="15.6"/>
  <cols>
    <col min="1" max="1" width="13.109375" style="189" customWidth="1"/>
    <col min="2" max="2" width="48.33203125" style="189" customWidth="1"/>
    <col min="3" max="3" width="14.44140625" style="189" customWidth="1"/>
    <col min="4" max="4" width="18.109375" style="189" customWidth="1"/>
    <col min="5" max="5" width="18.33203125" style="189" customWidth="1"/>
    <col min="6" max="6" width="13.77734375" style="189" customWidth="1"/>
    <col min="7" max="7" width="10.77734375" style="189"/>
    <col min="8" max="8" width="11.44140625" style="189" bestFit="1" customWidth="1"/>
    <col min="9" max="16384" width="10.77734375" style="189"/>
  </cols>
  <sheetData>
    <row r="1" spans="1:9" ht="22.8">
      <c r="B1" s="550" t="s">
        <v>654</v>
      </c>
      <c r="C1" s="550"/>
      <c r="D1" s="550"/>
      <c r="E1" s="550"/>
      <c r="F1" s="550"/>
      <c r="G1" s="550"/>
      <c r="H1" s="550"/>
      <c r="I1" s="550"/>
    </row>
    <row r="2" spans="1:9">
      <c r="F2" s="551" t="s">
        <v>651</v>
      </c>
      <c r="G2" s="551"/>
      <c r="H2" s="551"/>
    </row>
    <row r="4" spans="1:9" ht="31.2">
      <c r="A4" s="186" t="s">
        <v>588</v>
      </c>
      <c r="B4" s="186"/>
      <c r="C4" s="186"/>
      <c r="D4" s="186"/>
      <c r="E4" s="186"/>
      <c r="F4" s="187" t="s">
        <v>589</v>
      </c>
      <c r="G4" s="188" t="s">
        <v>590</v>
      </c>
      <c r="H4" s="188" t="s">
        <v>591</v>
      </c>
      <c r="I4" s="187" t="s">
        <v>592</v>
      </c>
    </row>
    <row r="5" spans="1:9">
      <c r="A5" s="186"/>
      <c r="B5" s="189" t="s">
        <v>657</v>
      </c>
      <c r="C5" s="186"/>
      <c r="D5" s="186"/>
      <c r="E5" s="186"/>
      <c r="F5" s="264">
        <v>30</v>
      </c>
      <c r="G5" s="253">
        <v>305</v>
      </c>
      <c r="H5" s="191">
        <f t="shared" ref="H5:H14" si="0">+lactations</f>
        <v>576</v>
      </c>
      <c r="I5" s="191">
        <f>+(H5*G5*F5)/2000</f>
        <v>2635.2</v>
      </c>
    </row>
    <row r="6" spans="1:9">
      <c r="A6" s="186"/>
      <c r="B6" s="189" t="s">
        <v>593</v>
      </c>
      <c r="C6" s="186"/>
      <c r="D6" s="186"/>
      <c r="E6" s="186"/>
      <c r="F6" s="264">
        <v>45.71</v>
      </c>
      <c r="G6" s="253">
        <v>305</v>
      </c>
      <c r="H6" s="191">
        <f t="shared" si="0"/>
        <v>576</v>
      </c>
      <c r="I6" s="191">
        <f>+(H6*G6*F6)/2000</f>
        <v>4015.1664000000001</v>
      </c>
    </row>
    <row r="7" spans="1:9">
      <c r="A7" s="186"/>
      <c r="B7" s="189" t="s">
        <v>594</v>
      </c>
      <c r="C7" s="186"/>
      <c r="D7" s="186"/>
      <c r="E7" s="186"/>
      <c r="F7" s="264">
        <v>0</v>
      </c>
      <c r="G7" s="253">
        <v>305</v>
      </c>
      <c r="H7" s="191">
        <f t="shared" si="0"/>
        <v>576</v>
      </c>
      <c r="I7" s="191">
        <f t="shared" ref="I7:I11" si="1">+(H7*G7*F7)/2000</f>
        <v>0</v>
      </c>
    </row>
    <row r="8" spans="1:9">
      <c r="A8" s="186"/>
      <c r="B8" s="189" t="s">
        <v>595</v>
      </c>
      <c r="C8" s="186"/>
      <c r="D8" s="186"/>
      <c r="E8" s="186"/>
      <c r="F8" s="264">
        <v>10</v>
      </c>
      <c r="G8" s="253">
        <v>305</v>
      </c>
      <c r="H8" s="191">
        <f t="shared" si="0"/>
        <v>576</v>
      </c>
      <c r="I8" s="191">
        <f t="shared" si="1"/>
        <v>878.4</v>
      </c>
    </row>
    <row r="9" spans="1:9">
      <c r="A9" s="186"/>
      <c r="B9" s="189" t="s">
        <v>596</v>
      </c>
      <c r="C9" s="186"/>
      <c r="D9" s="186"/>
      <c r="E9" s="186"/>
      <c r="F9" s="264">
        <v>0</v>
      </c>
      <c r="G9" s="253">
        <v>305</v>
      </c>
      <c r="H9" s="191">
        <f t="shared" si="0"/>
        <v>576</v>
      </c>
      <c r="I9" s="191">
        <f t="shared" si="1"/>
        <v>0</v>
      </c>
    </row>
    <row r="10" spans="1:9">
      <c r="A10" s="186"/>
      <c r="B10" s="189" t="s">
        <v>655</v>
      </c>
      <c r="C10" s="186"/>
      <c r="D10" s="186"/>
      <c r="E10" s="186"/>
      <c r="F10" s="264">
        <v>20.41</v>
      </c>
      <c r="G10" s="253">
        <v>305</v>
      </c>
      <c r="H10" s="191">
        <f t="shared" si="0"/>
        <v>576</v>
      </c>
      <c r="I10" s="191">
        <f t="shared" ref="I10" si="2">+(H10*G10*F10)/2000</f>
        <v>1792.8144</v>
      </c>
    </row>
    <row r="11" spans="1:9">
      <c r="A11" s="186"/>
      <c r="B11" s="189" t="s">
        <v>597</v>
      </c>
      <c r="C11" s="186"/>
      <c r="D11" s="186"/>
      <c r="E11" s="186"/>
      <c r="F11" s="264">
        <v>7.39</v>
      </c>
      <c r="G11" s="253">
        <v>305</v>
      </c>
      <c r="H11" s="191">
        <f t="shared" si="0"/>
        <v>576</v>
      </c>
      <c r="I11" s="191">
        <f t="shared" si="1"/>
        <v>649.13760000000002</v>
      </c>
    </row>
    <row r="12" spans="1:9">
      <c r="A12" s="186"/>
      <c r="B12" s="189" t="s">
        <v>599</v>
      </c>
      <c r="C12" s="186"/>
      <c r="D12" s="186"/>
      <c r="E12" s="186"/>
      <c r="F12" s="264">
        <v>8.25</v>
      </c>
      <c r="G12" s="253">
        <v>305</v>
      </c>
      <c r="H12" s="191">
        <f t="shared" si="0"/>
        <v>576</v>
      </c>
      <c r="I12" s="191">
        <f>+(H12*G12*F12)/2000</f>
        <v>724.68</v>
      </c>
    </row>
    <row r="13" spans="1:9">
      <c r="A13" s="186" t="s">
        <v>7</v>
      </c>
      <c r="B13" s="186"/>
      <c r="C13" s="186"/>
      <c r="D13" s="186"/>
      <c r="E13" s="186"/>
      <c r="F13" s="416"/>
      <c r="G13" s="417"/>
    </row>
    <row r="14" spans="1:9">
      <c r="A14" s="186"/>
      <c r="B14" s="189" t="s">
        <v>657</v>
      </c>
      <c r="C14" s="186"/>
      <c r="D14" s="186"/>
      <c r="E14" s="186"/>
      <c r="F14" s="264">
        <f>+(36+20)/2</f>
        <v>28</v>
      </c>
      <c r="G14" s="253">
        <v>60</v>
      </c>
      <c r="H14" s="191">
        <f t="shared" si="0"/>
        <v>576</v>
      </c>
      <c r="I14" s="191">
        <f>+(H14*G14*F14)/2000</f>
        <v>483.84</v>
      </c>
    </row>
    <row r="15" spans="1:9">
      <c r="A15" s="186"/>
      <c r="B15" s="192" t="s">
        <v>593</v>
      </c>
      <c r="C15" s="186"/>
      <c r="D15" s="186"/>
      <c r="E15" s="186"/>
      <c r="F15" s="264">
        <v>14.29</v>
      </c>
      <c r="G15" s="253">
        <v>30</v>
      </c>
      <c r="H15" s="191">
        <f t="shared" ref="H15:H21" si="3">+lactations</f>
        <v>576</v>
      </c>
      <c r="I15" s="191">
        <f>+(H15*G15*F15)/2000</f>
        <v>123.46559999999999</v>
      </c>
    </row>
    <row r="16" spans="1:9">
      <c r="A16" s="186"/>
      <c r="B16" s="192" t="s">
        <v>594</v>
      </c>
      <c r="C16" s="186"/>
      <c r="D16" s="186"/>
      <c r="E16" s="186"/>
      <c r="F16" s="264">
        <v>14.29</v>
      </c>
      <c r="G16" s="253">
        <v>60</v>
      </c>
      <c r="H16" s="191">
        <f t="shared" si="3"/>
        <v>576</v>
      </c>
      <c r="I16" s="191">
        <f t="shared" ref="I16:I21" si="4">+(H16*G16*F16)/2000</f>
        <v>246.93119999999999</v>
      </c>
    </row>
    <row r="17" spans="1:9">
      <c r="A17" s="186"/>
      <c r="B17" s="192" t="s">
        <v>595</v>
      </c>
      <c r="C17" s="186"/>
      <c r="D17" s="186"/>
      <c r="E17" s="186"/>
      <c r="F17" s="264">
        <v>0</v>
      </c>
      <c r="G17" s="253">
        <v>0</v>
      </c>
      <c r="H17" s="191">
        <f t="shared" si="3"/>
        <v>576</v>
      </c>
      <c r="I17" s="191">
        <f t="shared" si="4"/>
        <v>0</v>
      </c>
    </row>
    <row r="18" spans="1:9">
      <c r="A18" s="186"/>
      <c r="B18" s="192" t="s">
        <v>596</v>
      </c>
      <c r="C18" s="186"/>
      <c r="D18" s="186"/>
      <c r="E18" s="186"/>
      <c r="F18" s="264">
        <f>+(10.87+9.24)/2</f>
        <v>10.055</v>
      </c>
      <c r="G18" s="253">
        <v>60</v>
      </c>
      <c r="H18" s="191">
        <f t="shared" si="3"/>
        <v>576</v>
      </c>
      <c r="I18" s="191">
        <f t="shared" si="4"/>
        <v>173.75039999999998</v>
      </c>
    </row>
    <row r="19" spans="1:9">
      <c r="A19" s="186"/>
      <c r="B19" s="189" t="s">
        <v>655</v>
      </c>
      <c r="C19" s="186"/>
      <c r="D19" s="186"/>
      <c r="E19" s="186"/>
      <c r="F19" s="264">
        <v>4.08</v>
      </c>
      <c r="G19" s="253">
        <v>30</v>
      </c>
      <c r="H19" s="191">
        <f t="shared" si="3"/>
        <v>576</v>
      </c>
      <c r="I19" s="191">
        <f t="shared" si="4"/>
        <v>35.251199999999997</v>
      </c>
    </row>
    <row r="20" spans="1:9">
      <c r="A20" s="186"/>
      <c r="B20" s="192" t="s">
        <v>597</v>
      </c>
      <c r="C20" s="186"/>
      <c r="D20" s="186"/>
      <c r="E20" s="186"/>
      <c r="F20" s="264">
        <f>+(1.99+1.71)/2</f>
        <v>1.85</v>
      </c>
      <c r="G20" s="253">
        <v>60</v>
      </c>
      <c r="H20" s="191">
        <f t="shared" si="3"/>
        <v>576</v>
      </c>
      <c r="I20" s="191">
        <f t="shared" si="4"/>
        <v>31.968</v>
      </c>
    </row>
    <row r="21" spans="1:9">
      <c r="A21" s="186"/>
      <c r="B21" s="192" t="s">
        <v>599</v>
      </c>
      <c r="C21" s="186"/>
      <c r="D21" s="186"/>
      <c r="E21" s="186"/>
      <c r="F21" s="264">
        <f>+(1.69+6.893)/2</f>
        <v>4.2915000000000001</v>
      </c>
      <c r="G21" s="253">
        <v>60</v>
      </c>
      <c r="H21" s="191">
        <f t="shared" si="3"/>
        <v>576</v>
      </c>
      <c r="I21" s="191">
        <f t="shared" si="4"/>
        <v>74.157119999999992</v>
      </c>
    </row>
    <row r="22" spans="1:9">
      <c r="A22" s="186" t="s">
        <v>602</v>
      </c>
      <c r="B22" s="186"/>
      <c r="C22" s="186"/>
      <c r="D22" s="186"/>
      <c r="E22" s="186"/>
      <c r="F22" s="416"/>
      <c r="G22" s="417"/>
    </row>
    <row r="23" spans="1:9">
      <c r="A23" s="186"/>
      <c r="B23" s="189" t="s">
        <v>657</v>
      </c>
      <c r="C23" s="186"/>
      <c r="D23" s="186"/>
      <c r="E23" s="186"/>
      <c r="F23" s="264">
        <v>40</v>
      </c>
      <c r="G23" s="253">
        <v>305</v>
      </c>
      <c r="H23" s="191">
        <f t="shared" ref="H23:H30" si="5">+HEIFERS_RAISED</f>
        <v>350</v>
      </c>
      <c r="I23" s="191">
        <f>+(H23*G23*F23)/2000</f>
        <v>2135</v>
      </c>
    </row>
    <row r="24" spans="1:9">
      <c r="A24" s="186"/>
      <c r="B24" s="192" t="s">
        <v>593</v>
      </c>
      <c r="C24" s="186"/>
      <c r="D24" s="186"/>
      <c r="E24" s="186"/>
      <c r="F24" s="264">
        <v>0</v>
      </c>
      <c r="G24" s="253">
        <v>365</v>
      </c>
      <c r="H24" s="191">
        <f t="shared" si="5"/>
        <v>350</v>
      </c>
      <c r="I24" s="191">
        <f>+(H24*G24*F24)/2000</f>
        <v>0</v>
      </c>
    </row>
    <row r="25" spans="1:9">
      <c r="A25" s="186"/>
      <c r="B25" s="192" t="s">
        <v>594</v>
      </c>
      <c r="C25" s="186"/>
      <c r="D25" s="186"/>
      <c r="E25" s="186"/>
      <c r="F25" s="264">
        <v>11.43</v>
      </c>
      <c r="G25" s="253">
        <v>365</v>
      </c>
      <c r="H25" s="191">
        <f t="shared" si="5"/>
        <v>350</v>
      </c>
      <c r="I25" s="191">
        <f t="shared" ref="I25:I30" si="6">+(H25*G25*F25)/2000</f>
        <v>730.09124999999995</v>
      </c>
    </row>
    <row r="26" spans="1:9">
      <c r="A26" s="186"/>
      <c r="B26" s="192" t="s">
        <v>595</v>
      </c>
      <c r="C26" s="186"/>
      <c r="D26" s="186"/>
      <c r="E26" s="186"/>
      <c r="F26" s="264">
        <v>0</v>
      </c>
      <c r="G26" s="253">
        <v>365</v>
      </c>
      <c r="H26" s="191">
        <f t="shared" si="5"/>
        <v>350</v>
      </c>
      <c r="I26" s="191">
        <f t="shared" si="6"/>
        <v>0</v>
      </c>
    </row>
    <row r="27" spans="1:9">
      <c r="A27" s="186"/>
      <c r="B27" s="192" t="s">
        <v>596</v>
      </c>
      <c r="C27" s="186"/>
      <c r="D27" s="186"/>
      <c r="E27" s="186"/>
      <c r="F27" s="264">
        <v>2.91</v>
      </c>
      <c r="G27" s="253">
        <v>365</v>
      </c>
      <c r="H27" s="191">
        <f t="shared" si="5"/>
        <v>350</v>
      </c>
      <c r="I27" s="191">
        <f t="shared" si="6"/>
        <v>185.87625</v>
      </c>
    </row>
    <row r="28" spans="1:9">
      <c r="A28" s="186"/>
      <c r="B28" s="189" t="s">
        <v>655</v>
      </c>
      <c r="C28" s="186"/>
      <c r="D28" s="186"/>
      <c r="E28" s="186"/>
      <c r="F28" s="264">
        <v>0</v>
      </c>
      <c r="G28" s="253">
        <v>305</v>
      </c>
      <c r="H28" s="191">
        <f t="shared" si="5"/>
        <v>350</v>
      </c>
      <c r="I28" s="191">
        <f t="shared" si="6"/>
        <v>0</v>
      </c>
    </row>
    <row r="29" spans="1:9">
      <c r="A29" s="186"/>
      <c r="B29" s="192" t="s">
        <v>597</v>
      </c>
      <c r="C29" s="186"/>
      <c r="D29" s="186"/>
      <c r="E29" s="186"/>
      <c r="F29" s="264">
        <v>1.71</v>
      </c>
      <c r="G29" s="253">
        <v>365</v>
      </c>
      <c r="H29" s="191">
        <f t="shared" si="5"/>
        <v>350</v>
      </c>
      <c r="I29" s="191">
        <f t="shared" si="6"/>
        <v>109.22624999999999</v>
      </c>
    </row>
    <row r="30" spans="1:9">
      <c r="A30" s="186"/>
      <c r="B30" s="192" t="s">
        <v>599</v>
      </c>
      <c r="C30" s="186"/>
      <c r="D30" s="186"/>
      <c r="E30" s="186"/>
      <c r="F30" s="264">
        <v>5.78</v>
      </c>
      <c r="G30" s="253">
        <v>365</v>
      </c>
      <c r="H30" s="191">
        <f t="shared" si="5"/>
        <v>350</v>
      </c>
      <c r="I30" s="191">
        <f t="shared" si="6"/>
        <v>369.19749999999999</v>
      </c>
    </row>
    <row r="31" spans="1:9">
      <c r="A31" s="186" t="s">
        <v>603</v>
      </c>
      <c r="B31" s="186"/>
      <c r="C31" s="186"/>
      <c r="D31" s="186"/>
      <c r="E31" s="186"/>
      <c r="F31" s="416"/>
      <c r="G31" s="417"/>
    </row>
    <row r="32" spans="1:9">
      <c r="A32" s="186"/>
      <c r="B32" s="189" t="s">
        <v>657</v>
      </c>
      <c r="C32" s="186"/>
      <c r="D32" s="186"/>
      <c r="E32" s="186"/>
      <c r="F32" s="264">
        <v>18</v>
      </c>
      <c r="G32" s="253">
        <v>305</v>
      </c>
      <c r="H32" s="191">
        <f t="shared" ref="H32:H39" si="7">+HEIFERS_RAISED</f>
        <v>350</v>
      </c>
      <c r="I32" s="191">
        <f>+(H32*G32*F32)/2000</f>
        <v>960.75</v>
      </c>
    </row>
    <row r="33" spans="1:9">
      <c r="A33" s="186"/>
      <c r="B33" s="192" t="s">
        <v>593</v>
      </c>
      <c r="C33" s="186"/>
      <c r="D33" s="186"/>
      <c r="E33" s="186"/>
      <c r="F33" s="264">
        <v>4.3</v>
      </c>
      <c r="G33" s="253">
        <v>365</v>
      </c>
      <c r="H33" s="191">
        <f t="shared" si="7"/>
        <v>350</v>
      </c>
      <c r="I33" s="191">
        <f>+(H33*G33*F33)/2000</f>
        <v>274.66250000000002</v>
      </c>
    </row>
    <row r="34" spans="1:9">
      <c r="A34" s="186"/>
      <c r="B34" s="192" t="s">
        <v>594</v>
      </c>
      <c r="C34" s="186"/>
      <c r="D34" s="186"/>
      <c r="E34" s="186"/>
      <c r="F34" s="264">
        <v>0</v>
      </c>
      <c r="G34" s="253">
        <v>365</v>
      </c>
      <c r="H34" s="191">
        <f t="shared" si="7"/>
        <v>350</v>
      </c>
      <c r="I34" s="191">
        <f t="shared" ref="I34:I39" si="8">+(H34*G34*F34)/2000</f>
        <v>0</v>
      </c>
    </row>
    <row r="35" spans="1:9">
      <c r="A35" s="186"/>
      <c r="B35" s="192" t="s">
        <v>595</v>
      </c>
      <c r="C35" s="186"/>
      <c r="D35" s="186"/>
      <c r="E35" s="186"/>
      <c r="F35" s="264">
        <v>0</v>
      </c>
      <c r="G35" s="253">
        <v>365</v>
      </c>
      <c r="H35" s="191">
        <f t="shared" si="7"/>
        <v>350</v>
      </c>
      <c r="I35" s="191">
        <f t="shared" si="8"/>
        <v>0</v>
      </c>
    </row>
    <row r="36" spans="1:9">
      <c r="A36" s="186"/>
      <c r="B36" s="192" t="s">
        <v>596</v>
      </c>
      <c r="C36" s="186"/>
      <c r="D36" s="186"/>
      <c r="E36" s="186"/>
      <c r="F36" s="264">
        <v>1.0900000000000001</v>
      </c>
      <c r="G36" s="253">
        <v>365</v>
      </c>
      <c r="H36" s="191">
        <f t="shared" si="7"/>
        <v>350</v>
      </c>
      <c r="I36" s="191">
        <f t="shared" si="8"/>
        <v>69.623750000000001</v>
      </c>
    </row>
    <row r="37" spans="1:9">
      <c r="A37" s="186"/>
      <c r="B37" s="189" t="s">
        <v>655</v>
      </c>
      <c r="C37" s="186"/>
      <c r="D37" s="186"/>
      <c r="E37" s="186"/>
      <c r="F37" s="264">
        <v>0</v>
      </c>
      <c r="G37" s="253">
        <v>365</v>
      </c>
      <c r="H37" s="191">
        <f t="shared" si="7"/>
        <v>350</v>
      </c>
      <c r="I37" s="191">
        <f t="shared" si="8"/>
        <v>0</v>
      </c>
    </row>
    <row r="38" spans="1:9">
      <c r="A38" s="186"/>
      <c r="B38" s="192" t="s">
        <v>597</v>
      </c>
      <c r="C38" s="186"/>
      <c r="D38" s="186"/>
      <c r="E38" s="186"/>
      <c r="F38" s="264">
        <v>1.36</v>
      </c>
      <c r="G38" s="253">
        <v>365</v>
      </c>
      <c r="H38" s="191">
        <f t="shared" si="7"/>
        <v>350</v>
      </c>
      <c r="I38" s="191">
        <f t="shared" si="8"/>
        <v>86.87</v>
      </c>
    </row>
    <row r="39" spans="1:9">
      <c r="A39" s="186"/>
      <c r="B39" s="192" t="s">
        <v>599</v>
      </c>
      <c r="C39" s="186"/>
      <c r="D39" s="186"/>
      <c r="E39" s="186"/>
      <c r="F39" s="264">
        <v>4.3600000000000003</v>
      </c>
      <c r="G39" s="253">
        <v>365</v>
      </c>
      <c r="H39" s="191">
        <f t="shared" si="7"/>
        <v>350</v>
      </c>
      <c r="I39" s="191">
        <f t="shared" si="8"/>
        <v>278.495</v>
      </c>
    </row>
    <row r="40" spans="1:9">
      <c r="A40" s="189" t="s">
        <v>604</v>
      </c>
      <c r="F40" s="416"/>
      <c r="G40" s="417"/>
    </row>
    <row r="41" spans="1:9">
      <c r="B41" s="189" t="s">
        <v>605</v>
      </c>
      <c r="F41" s="264">
        <v>1.25</v>
      </c>
      <c r="G41" s="253">
        <v>72</v>
      </c>
      <c r="H41" s="191">
        <f>+HEIFERS_RAISED</f>
        <v>350</v>
      </c>
      <c r="I41" s="191">
        <f t="shared" ref="I41:I43" si="9">+(H41*G41*F41)/2000</f>
        <v>15.75</v>
      </c>
    </row>
    <row r="42" spans="1:9">
      <c r="B42" s="189" t="s">
        <v>739</v>
      </c>
      <c r="F42" s="264">
        <v>0</v>
      </c>
      <c r="G42" s="253">
        <v>0</v>
      </c>
      <c r="H42" s="191">
        <f>+HEIFERS_RAISED</f>
        <v>350</v>
      </c>
      <c r="I42" s="191">
        <f t="shared" ref="I42" si="10">+(H42*G42*F42)/2000</f>
        <v>0</v>
      </c>
    </row>
    <row r="43" spans="1:9">
      <c r="B43" s="189" t="s">
        <v>606</v>
      </c>
      <c r="F43" s="264">
        <v>1</v>
      </c>
      <c r="G43" s="253">
        <v>72</v>
      </c>
      <c r="H43" s="191">
        <f>+HEIFERS_RAISED</f>
        <v>350</v>
      </c>
      <c r="I43" s="191">
        <f t="shared" si="9"/>
        <v>12.6</v>
      </c>
    </row>
    <row r="44" spans="1:9" ht="22.8">
      <c r="B44" s="550" t="s">
        <v>694</v>
      </c>
      <c r="C44" s="550"/>
      <c r="D44" s="550"/>
      <c r="E44" s="552"/>
      <c r="F44" s="264"/>
      <c r="G44" s="253"/>
      <c r="H44" s="191"/>
      <c r="I44" s="191"/>
    </row>
    <row r="45" spans="1:9" ht="46.8">
      <c r="B45" s="265" t="s">
        <v>598</v>
      </c>
      <c r="C45" s="266" t="s">
        <v>600</v>
      </c>
      <c r="D45" s="266" t="s">
        <v>601</v>
      </c>
      <c r="E45" s="266" t="s">
        <v>736</v>
      </c>
      <c r="F45" s="266" t="s">
        <v>700</v>
      </c>
    </row>
    <row r="46" spans="1:9">
      <c r="B46" s="189" t="s">
        <v>657</v>
      </c>
      <c r="C46" s="193">
        <f t="shared" ref="C46:C53" si="11">+I5+I14+I23+I32</f>
        <v>6214.79</v>
      </c>
      <c r="D46" s="190">
        <f>+winter_grazing_production+PERM_PASTURE_PRODUCTION</f>
        <v>11000</v>
      </c>
      <c r="E46" s="474">
        <v>0.05</v>
      </c>
      <c r="F46" s="475">
        <f t="shared" ref="F46" si="12">D46-(C46*(1+E46))</f>
        <v>4474.4704999999994</v>
      </c>
    </row>
    <row r="47" spans="1:9">
      <c r="B47" s="189" t="s">
        <v>593</v>
      </c>
      <c r="C47" s="193">
        <f t="shared" si="11"/>
        <v>4413.2945</v>
      </c>
      <c r="D47" s="190">
        <f>+CORN_SILAGE_PRODUCTION</f>
        <v>5000</v>
      </c>
      <c r="E47" s="474">
        <v>0.2</v>
      </c>
      <c r="F47" s="475">
        <f>D47-(C47*(1+E47))</f>
        <v>-295.95339999999942</v>
      </c>
    </row>
    <row r="48" spans="1:9">
      <c r="B48" s="189" t="s">
        <v>594</v>
      </c>
      <c r="C48" s="193">
        <f t="shared" si="11"/>
        <v>977.02244999999994</v>
      </c>
      <c r="D48" s="190">
        <f>+SORGHUM_PRODUCTION</f>
        <v>900</v>
      </c>
      <c r="E48" s="474">
        <v>0.2</v>
      </c>
      <c r="F48" s="475">
        <f t="shared" ref="F48:F50" si="13">D48-(C48*(1+E48))</f>
        <v>-272.42693999999983</v>
      </c>
    </row>
    <row r="49" spans="2:6">
      <c r="B49" s="189" t="s">
        <v>595</v>
      </c>
      <c r="C49" s="193">
        <f t="shared" si="11"/>
        <v>878.4</v>
      </c>
      <c r="D49" s="190">
        <f>+WINTER_ANNUAL_PRODUCTION</f>
        <v>1000</v>
      </c>
      <c r="E49" s="474">
        <v>0.2</v>
      </c>
      <c r="F49" s="475">
        <f t="shared" si="13"/>
        <v>-54.079999999999927</v>
      </c>
    </row>
    <row r="50" spans="2:6">
      <c r="B50" s="189" t="s">
        <v>596</v>
      </c>
      <c r="C50" s="193">
        <f t="shared" si="11"/>
        <v>429.25040000000001</v>
      </c>
      <c r="D50" s="190">
        <f>+HAY_PRODUCTION</f>
        <v>750</v>
      </c>
      <c r="E50" s="474">
        <v>0.15</v>
      </c>
      <c r="F50" s="475">
        <f t="shared" si="13"/>
        <v>256.36204000000004</v>
      </c>
    </row>
    <row r="51" spans="2:6">
      <c r="B51" s="189" t="s">
        <v>655</v>
      </c>
      <c r="C51" s="193">
        <f t="shared" si="11"/>
        <v>1828.0655999999999</v>
      </c>
      <c r="D51" s="201"/>
      <c r="E51" s="474">
        <v>0.15</v>
      </c>
      <c r="F51" s="475">
        <f t="shared" ref="F51:F53" si="14">+(C51-D51)*(1+E51)</f>
        <v>2102.2754399999999</v>
      </c>
    </row>
    <row r="52" spans="2:6">
      <c r="B52" s="189" t="s">
        <v>597</v>
      </c>
      <c r="C52" s="193">
        <f t="shared" si="11"/>
        <v>877.20185000000004</v>
      </c>
      <c r="D52" s="201"/>
      <c r="E52" s="474">
        <v>0.05</v>
      </c>
      <c r="F52" s="475">
        <f t="shared" si="14"/>
        <v>921.0619425000001</v>
      </c>
    </row>
    <row r="53" spans="2:6">
      <c r="B53" s="189" t="s">
        <v>599</v>
      </c>
      <c r="C53" s="193">
        <f t="shared" si="11"/>
        <v>1446.5296199999998</v>
      </c>
      <c r="D53" s="201"/>
      <c r="E53" s="474">
        <v>0.02</v>
      </c>
      <c r="F53" s="475">
        <f t="shared" si="14"/>
        <v>1475.4602123999998</v>
      </c>
    </row>
  </sheetData>
  <sheetProtection sheet="1" objects="1" scenarios="1"/>
  <mergeCells count="3">
    <mergeCell ref="B1:I1"/>
    <mergeCell ref="F2:H2"/>
    <mergeCell ref="B44:E44"/>
  </mergeCells>
  <phoneticPr fontId="19" type="noConversion"/>
  <hyperlinks>
    <hyperlink ref="F2" location="Main!A42" display="RETURN TO MAIN BUDGET" xr:uid="{00000000-0004-0000-0600-000000000000}"/>
    <hyperlink ref="G2" location="Main!A42" display="Main!A42" xr:uid="{00000000-0004-0000-0600-000001000000}"/>
    <hyperlink ref="H2" location="Main!A42" display="Main!A42" xr:uid="{00000000-0004-0000-0600-000002000000}"/>
  </hyperlinks>
  <pageMargins left="0.75" right="0.75" top="1" bottom="1" header="0.5" footer="0.5"/>
  <headerFooter>
    <oddFooter>&amp;A</oddFooter>
  </headerFooter>
  <rowBreaks count="1" manualBreakCount="1">
    <brk id="43" max="16383" man="1"/>
  </rowBreaks>
  <drawing r:id="rId1"/>
  <extLst>
    <ext xmlns:mx="http://schemas.microsoft.com/office/mac/excel/2008/main" uri="{64002731-A6B0-56B0-2670-7721B7C09600}">
      <mx:PLV Mode="0" OnePage="0" WScale="6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0"/>
  <sheetViews>
    <sheetView topLeftCell="B1" zoomScale="125" zoomScaleNormal="125" zoomScalePageLayoutView="125" workbookViewId="0">
      <selection activeCell="H13" sqref="H13"/>
    </sheetView>
  </sheetViews>
  <sheetFormatPr defaultColWidth="10.77734375" defaultRowHeight="15"/>
  <cols>
    <col min="1" max="1" width="60.6640625" style="234" customWidth="1"/>
    <col min="2" max="2" width="18.109375" style="234" customWidth="1"/>
    <col min="3" max="3" width="17.109375" style="234" customWidth="1"/>
    <col min="4" max="4" width="17.33203125" style="234" customWidth="1"/>
    <col min="5" max="5" width="20.44140625" style="234" customWidth="1"/>
    <col min="6" max="7" width="19.109375" style="234" customWidth="1"/>
    <col min="8" max="8" width="18.109375" style="234" customWidth="1"/>
    <col min="9" max="16384" width="10.77734375" style="234"/>
  </cols>
  <sheetData>
    <row r="1" spans="1:8" ht="22.8">
      <c r="A1" s="550" t="s">
        <v>695</v>
      </c>
      <c r="B1" s="550"/>
      <c r="C1" s="550"/>
      <c r="D1" s="550"/>
      <c r="E1" s="550"/>
      <c r="F1" s="550"/>
      <c r="G1" s="550"/>
      <c r="H1" s="550"/>
    </row>
    <row r="2" spans="1:8" ht="40.200000000000003" thickBot="1">
      <c r="A2" s="247" t="s">
        <v>645</v>
      </c>
      <c r="B2" s="274" t="s">
        <v>495</v>
      </c>
      <c r="C2" s="274" t="s">
        <v>677</v>
      </c>
      <c r="D2" s="274" t="s">
        <v>628</v>
      </c>
      <c r="E2" s="274" t="s">
        <v>629</v>
      </c>
      <c r="F2" s="274" t="s">
        <v>678</v>
      </c>
      <c r="G2" s="274" t="s">
        <v>679</v>
      </c>
      <c r="H2" s="274" t="s">
        <v>634</v>
      </c>
    </row>
    <row r="3" spans="1:8" ht="15.6" thickTop="1">
      <c r="A3" s="234" t="s">
        <v>630</v>
      </c>
      <c r="B3" s="239">
        <f>+Corn_silage!B5</f>
        <v>200</v>
      </c>
      <c r="C3" s="239">
        <f>+Sorghum_silage!B5</f>
        <v>75</v>
      </c>
      <c r="D3" s="239">
        <f>+Winter_Silage!B4</f>
        <v>100</v>
      </c>
      <c r="E3" s="239">
        <f>+Bermuda_hay!B3</f>
        <v>75</v>
      </c>
      <c r="F3" s="239">
        <f>+Winter_Grazing!B4</f>
        <v>200</v>
      </c>
      <c r="G3" s="239">
        <f>+PERMANENT_PASTURE!B3</f>
        <v>200</v>
      </c>
      <c r="H3" s="239">
        <f>+SUM(B3:G3)</f>
        <v>850</v>
      </c>
    </row>
    <row r="4" spans="1:8">
      <c r="A4" s="234" t="s">
        <v>631</v>
      </c>
      <c r="B4" s="240">
        <f>+CORN_SILAGE_PRODUCTION</f>
        <v>5000</v>
      </c>
      <c r="C4" s="240">
        <f>+SORGHUM_PRODUCTION</f>
        <v>900</v>
      </c>
      <c r="D4" s="240">
        <f>+WINTER_ANNUAL_PRODUCTION</f>
        <v>1000</v>
      </c>
      <c r="E4" s="240">
        <f>+HAY_PRODUCTION</f>
        <v>750</v>
      </c>
      <c r="F4" s="240">
        <f>+winter_grazing_production</f>
        <v>6000</v>
      </c>
      <c r="G4" s="240">
        <f>+PERM_PASTURE_PRODUCTION</f>
        <v>5000</v>
      </c>
      <c r="H4" s="239">
        <f t="shared" ref="H4:H5" si="0">+SUM(B4:G4)</f>
        <v>18650</v>
      </c>
    </row>
    <row r="5" spans="1:8">
      <c r="A5" s="234" t="s">
        <v>632</v>
      </c>
      <c r="B5" s="236">
        <f>+Corn_silage!B7</f>
        <v>100754.5</v>
      </c>
      <c r="C5" s="236">
        <f>+Sorghum_silage!B7</f>
        <v>31030.6875</v>
      </c>
      <c r="D5" s="236">
        <f>+Winter_Silage!B6</f>
        <v>23085.25</v>
      </c>
      <c r="E5" s="236">
        <f>+Bermuda_hay!B5</f>
        <v>34035.5625</v>
      </c>
      <c r="F5" s="236">
        <f>+Winter_Grazing!B6</f>
        <v>18210.5</v>
      </c>
      <c r="G5" s="236">
        <f>+PERMANENT_PASTURE!B5</f>
        <v>44820</v>
      </c>
      <c r="H5" s="291">
        <f t="shared" si="0"/>
        <v>251936.5</v>
      </c>
    </row>
    <row r="6" spans="1:8">
      <c r="A6" s="234" t="s">
        <v>680</v>
      </c>
      <c r="B6" s="236">
        <f>+IF(B3&gt;0,B5/B4,0)</f>
        <v>20.1509</v>
      </c>
      <c r="C6" s="236">
        <f t="shared" ref="C6:G6" si="1">+IF(C3&gt;0,C5/C4,0)</f>
        <v>34.478541666666665</v>
      </c>
      <c r="D6" s="236">
        <f t="shared" si="1"/>
        <v>23.085249999999998</v>
      </c>
      <c r="E6" s="236">
        <f t="shared" si="1"/>
        <v>45.380749999999999</v>
      </c>
      <c r="F6" s="236">
        <f t="shared" si="1"/>
        <v>3.0350833333333331</v>
      </c>
      <c r="G6" s="236">
        <f t="shared" si="1"/>
        <v>8.9640000000000004</v>
      </c>
      <c r="H6" s="246"/>
    </row>
    <row r="7" spans="1:8">
      <c r="B7" s="236"/>
      <c r="C7" s="236"/>
      <c r="D7" s="236"/>
      <c r="E7" s="236"/>
      <c r="F7" s="236"/>
      <c r="G7" s="236"/>
      <c r="H7" s="246"/>
    </row>
    <row r="8" spans="1:8">
      <c r="A8" s="234" t="s">
        <v>675</v>
      </c>
      <c r="B8" s="287">
        <f>(Corn_silage!E18+Corn_silage!E29)*Corn_silage!B5</f>
        <v>8428.5</v>
      </c>
      <c r="C8" s="236">
        <f>+(Sorghum_silage!E18+Sorghum_silage!E26)*Sorghum_silage!B5</f>
        <v>1979.4374999999998</v>
      </c>
      <c r="D8" s="236">
        <f>+(Winter_Silage!E22+Winter_Silage!E30)*Winter_Silage!B4</f>
        <v>1460.25</v>
      </c>
      <c r="E8" s="236">
        <f>(Bermuda_hay!G17)*Bermuda_hay!B3</f>
        <v>3731.0625</v>
      </c>
      <c r="F8" s="236">
        <f>(Winter_Grazing!E22*Winter_Grazing!B4)</f>
        <v>670.5</v>
      </c>
      <c r="G8" s="236">
        <f>(PERMANENT_PASTURE!G18*PERMANENT_PASTURE!B3)</f>
        <v>919.99999999999989</v>
      </c>
      <c r="H8" s="291">
        <f t="shared" ref="H8:H11" si="2">+SUM(B8:G8)</f>
        <v>17189.75</v>
      </c>
    </row>
    <row r="9" spans="1:8">
      <c r="A9" s="234" t="s">
        <v>676</v>
      </c>
      <c r="B9" s="236">
        <f>+(Corn_silage!E20+Corn_silage!E30)*Corn_silage!B5</f>
        <v>34200</v>
      </c>
      <c r="C9" s="236">
        <f>+(Sorghum_silage!E19+Sorghum_silage!E27)*Sorghum_silage!B5</f>
        <v>6111</v>
      </c>
      <c r="D9" s="236">
        <f>(SUM(Winter_Silage!E24:E26)+Winter_Silage!E31)*Winter_Silage!B4</f>
        <v>5250</v>
      </c>
      <c r="E9" s="236">
        <f>(Bermuda_hay!G18*Bermuda_hay!B3)</f>
        <v>2198.25</v>
      </c>
      <c r="F9" s="236">
        <f>(SUM(Winter_Grazing!E24:E25)*Winter_Grazing!B4)</f>
        <v>500</v>
      </c>
      <c r="G9" s="236">
        <f>(PERMANENT_PASTURE!G19*PERMANENT_PASTURE!B3)</f>
        <v>600</v>
      </c>
      <c r="H9" s="291">
        <f t="shared" si="2"/>
        <v>48859.25</v>
      </c>
    </row>
    <row r="10" spans="1:8">
      <c r="A10" s="234" t="s">
        <v>689</v>
      </c>
      <c r="B10" s="236">
        <f>+(B5-B8-B9)</f>
        <v>58126</v>
      </c>
      <c r="C10" s="236">
        <f t="shared" ref="C10:G10" si="3">+(C5-C8-C9)</f>
        <v>22940.25</v>
      </c>
      <c r="D10" s="236">
        <f t="shared" si="3"/>
        <v>16375</v>
      </c>
      <c r="E10" s="236">
        <f t="shared" si="3"/>
        <v>28106.25</v>
      </c>
      <c r="F10" s="236">
        <f t="shared" si="3"/>
        <v>17040</v>
      </c>
      <c r="G10" s="236">
        <f t="shared" si="3"/>
        <v>43300</v>
      </c>
      <c r="H10" s="291">
        <f t="shared" ref="H10" si="4">+SUM(B10:G10)</f>
        <v>185887.5</v>
      </c>
    </row>
    <row r="11" spans="1:8">
      <c r="A11" s="234" t="s">
        <v>690</v>
      </c>
      <c r="B11" s="236">
        <f>+IF(B3&gt;0,B10/B3,0)</f>
        <v>290.63</v>
      </c>
      <c r="C11" s="236">
        <f t="shared" ref="C11:G11" si="5">+IF(C3&gt;0,C10/C3,0)</f>
        <v>305.87</v>
      </c>
      <c r="D11" s="236">
        <f t="shared" si="5"/>
        <v>163.75</v>
      </c>
      <c r="E11" s="236">
        <f t="shared" si="5"/>
        <v>374.75</v>
      </c>
      <c r="F11" s="236">
        <f t="shared" si="5"/>
        <v>85.2</v>
      </c>
      <c r="G11" s="236">
        <f t="shared" si="5"/>
        <v>216.5</v>
      </c>
      <c r="H11" s="291">
        <f t="shared" si="2"/>
        <v>1436.7</v>
      </c>
    </row>
    <row r="12" spans="1:8" ht="20.399999999999999" thickBot="1">
      <c r="A12" s="247" t="s">
        <v>633</v>
      </c>
      <c r="B12" s="275"/>
      <c r="C12" s="275"/>
      <c r="D12" s="275"/>
      <c r="E12" s="275"/>
      <c r="F12" s="275"/>
      <c r="G12" s="275"/>
      <c r="H12" s="276"/>
    </row>
    <row r="13" spans="1:8" ht="30.6" thickTop="1">
      <c r="A13" s="235" t="s">
        <v>647</v>
      </c>
      <c r="B13" s="553"/>
      <c r="C13" s="553"/>
      <c r="D13" s="553"/>
      <c r="E13" s="553"/>
      <c r="F13" s="272"/>
      <c r="G13" s="272"/>
      <c r="H13" s="236">
        <f>+impl_fc+waste_fc</f>
        <v>268587.34095238097</v>
      </c>
    </row>
    <row r="14" spans="1:8" ht="45">
      <c r="A14" s="235" t="s">
        <v>648</v>
      </c>
      <c r="B14" s="238">
        <f>+(B3/$H$3)</f>
        <v>0.23529411764705882</v>
      </c>
      <c r="C14" s="238">
        <f t="shared" ref="C14:G14" si="6">+(C3/$H$3)</f>
        <v>8.8235294117647065E-2</v>
      </c>
      <c r="D14" s="238">
        <f t="shared" si="6"/>
        <v>0.11764705882352941</v>
      </c>
      <c r="E14" s="238">
        <f t="shared" si="6"/>
        <v>8.8235294117647065E-2</v>
      </c>
      <c r="F14" s="238">
        <f t="shared" si="6"/>
        <v>0.23529411764705882</v>
      </c>
      <c r="G14" s="238">
        <f t="shared" si="6"/>
        <v>0.23529411764705882</v>
      </c>
      <c r="H14" s="238">
        <f t="shared" ref="H14:H16" si="7">+SUM(B14:G14)</f>
        <v>1</v>
      </c>
    </row>
    <row r="15" spans="1:8" ht="30.6">
      <c r="A15" s="235" t="s">
        <v>638</v>
      </c>
      <c r="B15" s="251">
        <v>0.5</v>
      </c>
      <c r="C15" s="251">
        <v>0.12</v>
      </c>
      <c r="D15" s="251">
        <v>0.2</v>
      </c>
      <c r="E15" s="251">
        <v>0.08</v>
      </c>
      <c r="F15" s="251">
        <v>0.05</v>
      </c>
      <c r="G15" s="251">
        <v>0.05</v>
      </c>
      <c r="H15" s="238">
        <f t="shared" si="7"/>
        <v>1</v>
      </c>
    </row>
    <row r="16" spans="1:8">
      <c r="A16" s="234" t="s">
        <v>635</v>
      </c>
      <c r="B16" s="243">
        <f>+B15*$H$13</f>
        <v>134293.67047619048</v>
      </c>
      <c r="C16" s="243">
        <f t="shared" ref="C16:E16" si="8">+C15*$H$13</f>
        <v>32230.480914285716</v>
      </c>
      <c r="D16" s="243">
        <f t="shared" si="8"/>
        <v>53717.468190476196</v>
      </c>
      <c r="E16" s="243">
        <f t="shared" si="8"/>
        <v>21486.987276190477</v>
      </c>
      <c r="F16" s="243">
        <f t="shared" ref="F16:G16" si="9">+F15*$H$13</f>
        <v>13429.367047619049</v>
      </c>
      <c r="G16" s="243">
        <f t="shared" si="9"/>
        <v>13429.367047619049</v>
      </c>
      <c r="H16" s="239">
        <f t="shared" si="7"/>
        <v>268587.34095238097</v>
      </c>
    </row>
    <row r="17" spans="1:8">
      <c r="A17" s="234" t="s">
        <v>636</v>
      </c>
      <c r="B17" s="244">
        <f>+B16/B4</f>
        <v>26.858734095238098</v>
      </c>
      <c r="C17" s="244">
        <f t="shared" ref="C17:E17" si="10">+C16/C4</f>
        <v>35.811645460317465</v>
      </c>
      <c r="D17" s="244">
        <f t="shared" si="10"/>
        <v>53.717468190476197</v>
      </c>
      <c r="E17" s="244">
        <f t="shared" si="10"/>
        <v>28.64931636825397</v>
      </c>
      <c r="F17" s="244">
        <f t="shared" ref="F17:G17" si="11">+F16/F4</f>
        <v>2.2382278412698415</v>
      </c>
      <c r="G17" s="244">
        <f t="shared" si="11"/>
        <v>2.6858734095238099</v>
      </c>
    </row>
    <row r="18" spans="1:8">
      <c r="A18" s="234" t="s">
        <v>637</v>
      </c>
      <c r="B18" s="243">
        <f>+B16+B5</f>
        <v>235048.17047619048</v>
      </c>
      <c r="C18" s="243">
        <f t="shared" ref="C18:E18" si="12">+C16+C5</f>
        <v>63261.168414285712</v>
      </c>
      <c r="D18" s="243">
        <f t="shared" si="12"/>
        <v>76802.718190476196</v>
      </c>
      <c r="E18" s="243">
        <f t="shared" si="12"/>
        <v>55522.549776190477</v>
      </c>
      <c r="F18" s="243">
        <f t="shared" ref="F18:G18" si="13">+F16+F5</f>
        <v>31639.867047619049</v>
      </c>
      <c r="G18" s="243">
        <f t="shared" si="13"/>
        <v>58249.367047619045</v>
      </c>
      <c r="H18" s="239">
        <f>+SUM(B18:G18)</f>
        <v>520523.84095238103</v>
      </c>
    </row>
    <row r="19" spans="1:8" ht="18.600000000000001" thickBot="1">
      <c r="A19" s="248" t="s">
        <v>646</v>
      </c>
      <c r="B19" s="249">
        <f>+B18/B4</f>
        <v>47.009634095238098</v>
      </c>
      <c r="C19" s="249">
        <f t="shared" ref="C19:E19" si="14">+C18/C4</f>
        <v>70.290187126984122</v>
      </c>
      <c r="D19" s="249">
        <f t="shared" si="14"/>
        <v>76.802718190476199</v>
      </c>
      <c r="E19" s="249">
        <f t="shared" si="14"/>
        <v>74.030066368253969</v>
      </c>
      <c r="F19" s="249">
        <f t="shared" ref="F19:G19" si="15">+F18/F4</f>
        <v>5.2733111746031751</v>
      </c>
      <c r="G19" s="249">
        <f t="shared" si="15"/>
        <v>11.64987340952381</v>
      </c>
      <c r="H19" s="250"/>
    </row>
    <row r="20" spans="1:8" ht="15.6" thickTop="1"/>
  </sheetData>
  <sheetProtection sheet="1" objects="1" scenarios="1"/>
  <mergeCells count="2">
    <mergeCell ref="B13:E13"/>
    <mergeCell ref="A1:H1"/>
  </mergeCells>
  <phoneticPr fontId="19" type="noConversion"/>
  <pageMargins left="0.75" right="0.75" top="1" bottom="1" header="0.5" footer="0.5"/>
  <headerFooter>
    <oddFooter>&amp;A</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9"/>
  <sheetViews>
    <sheetView zoomScale="120" zoomScaleNormal="120" zoomScalePageLayoutView="70" workbookViewId="0">
      <selection activeCell="A3" sqref="A3:G3"/>
    </sheetView>
  </sheetViews>
  <sheetFormatPr defaultColWidth="9.109375" defaultRowHeight="13.8"/>
  <cols>
    <col min="1" max="1" width="42" style="128" customWidth="1"/>
    <col min="2" max="2" width="15.6640625" style="128" customWidth="1"/>
    <col min="3" max="3" width="12.109375" style="152" customWidth="1"/>
    <col min="4" max="4" width="11.33203125" style="153" customWidth="1"/>
    <col min="5" max="5" width="11.6640625" style="153" customWidth="1"/>
    <col min="6" max="6" width="11.109375" style="153" customWidth="1"/>
    <col min="7" max="7" width="9.77734375" style="128" customWidth="1"/>
    <col min="8" max="9" width="9.109375" style="128"/>
    <col min="10" max="10" width="46" style="128" customWidth="1"/>
    <col min="11" max="11" width="11.33203125" style="128" bestFit="1" customWidth="1"/>
    <col min="12" max="13" width="10.109375" style="128" bestFit="1" customWidth="1"/>
    <col min="14" max="14" width="12.44140625" style="128" bestFit="1" customWidth="1"/>
    <col min="15" max="15" width="11.33203125" style="128" bestFit="1" customWidth="1"/>
    <col min="16" max="16" width="10.109375" style="128" bestFit="1" customWidth="1"/>
    <col min="17" max="16384" width="9.109375" style="128"/>
  </cols>
  <sheetData>
    <row r="1" spans="1:8" ht="22.8">
      <c r="A1" s="550" t="s">
        <v>534</v>
      </c>
      <c r="B1" s="550"/>
      <c r="C1" s="550"/>
      <c r="D1" s="550"/>
      <c r="E1" s="550"/>
      <c r="F1" s="550"/>
      <c r="G1" s="550"/>
    </row>
    <row r="2" spans="1:8">
      <c r="A2" s="554"/>
      <c r="B2" s="554"/>
      <c r="C2" s="554"/>
      <c r="D2" s="554"/>
      <c r="E2" s="554"/>
      <c r="F2" s="554"/>
      <c r="G2" s="554"/>
    </row>
    <row r="3" spans="1:8">
      <c r="A3" s="554"/>
      <c r="B3" s="554"/>
      <c r="C3" s="554"/>
      <c r="D3" s="554"/>
      <c r="E3" s="554"/>
      <c r="F3" s="554"/>
      <c r="G3" s="554"/>
    </row>
    <row r="4" spans="1:8" ht="15.6">
      <c r="A4" s="195" t="s">
        <v>609</v>
      </c>
      <c r="B4" s="418">
        <v>25</v>
      </c>
      <c r="C4" s="154" t="s">
        <v>564</v>
      </c>
      <c r="D4" s="131"/>
      <c r="E4" s="551" t="s">
        <v>651</v>
      </c>
      <c r="F4" s="551"/>
      <c r="G4" s="551"/>
    </row>
    <row r="5" spans="1:8" ht="15.6">
      <c r="A5" s="195" t="s">
        <v>607</v>
      </c>
      <c r="B5" s="418">
        <v>200</v>
      </c>
      <c r="D5" s="131"/>
      <c r="E5" s="131"/>
      <c r="F5" s="131"/>
      <c r="G5" s="132"/>
    </row>
    <row r="6" spans="1:8" ht="15.6">
      <c r="A6" s="195" t="s">
        <v>608</v>
      </c>
      <c r="B6" s="196">
        <f>+B5*corn_silage_yield</f>
        <v>5000</v>
      </c>
      <c r="C6" s="130"/>
      <c r="D6" s="131"/>
      <c r="E6" s="131"/>
      <c r="F6" s="131"/>
      <c r="G6" s="129"/>
    </row>
    <row r="7" spans="1:8" ht="14.4" thickBot="1">
      <c r="A7" s="154" t="s">
        <v>553</v>
      </c>
      <c r="B7" s="237">
        <f>+B5*Comsilage_prod_cost</f>
        <v>100754.5</v>
      </c>
      <c r="C7" s="130"/>
      <c r="D7" s="131"/>
      <c r="E7" s="131"/>
      <c r="F7" s="131"/>
      <c r="G7" s="129"/>
    </row>
    <row r="8" spans="1:8" ht="27">
      <c r="A8" s="133" t="s">
        <v>500</v>
      </c>
      <c r="B8" s="133" t="s">
        <v>501</v>
      </c>
      <c r="C8" s="134" t="s">
        <v>502</v>
      </c>
      <c r="D8" s="135" t="s">
        <v>391</v>
      </c>
      <c r="E8" s="135" t="s">
        <v>503</v>
      </c>
      <c r="F8" s="135" t="str">
        <f>+CONCATENATE("$/",C4)</f>
        <v>$/TON</v>
      </c>
      <c r="G8" s="133" t="s">
        <v>504</v>
      </c>
    </row>
    <row r="9" spans="1:8" ht="15.6">
      <c r="A9" s="129" t="s">
        <v>505</v>
      </c>
      <c r="B9" s="129" t="s">
        <v>506</v>
      </c>
      <c r="C9" s="288">
        <v>27.5</v>
      </c>
      <c r="D9" s="419">
        <v>1.94</v>
      </c>
      <c r="E9" s="131">
        <f>+D9*C9</f>
        <v>53.35</v>
      </c>
      <c r="F9" s="131">
        <f>+E9/yield</f>
        <v>2.1339999999999999</v>
      </c>
      <c r="G9" s="132"/>
      <c r="H9" s="136"/>
    </row>
    <row r="10" spans="1:8" ht="15.6">
      <c r="A10" s="154" t="s">
        <v>672</v>
      </c>
      <c r="B10" s="129" t="s">
        <v>507</v>
      </c>
      <c r="C10" s="288">
        <v>0.5</v>
      </c>
      <c r="D10" s="419">
        <v>42</v>
      </c>
      <c r="E10" s="131">
        <f>+D10*C10</f>
        <v>21</v>
      </c>
      <c r="F10" s="131">
        <f>+E10/yield</f>
        <v>0.84</v>
      </c>
      <c r="G10" s="137"/>
    </row>
    <row r="11" spans="1:8" ht="15.6">
      <c r="A11" s="129" t="s">
        <v>508</v>
      </c>
      <c r="B11" s="129"/>
      <c r="C11" s="288"/>
      <c r="D11" s="419"/>
      <c r="E11" s="131"/>
      <c r="F11" s="131"/>
      <c r="G11" s="138"/>
    </row>
    <row r="12" spans="1:8" ht="15.6">
      <c r="A12" s="129" t="s">
        <v>509</v>
      </c>
      <c r="B12" s="129" t="s">
        <v>510</v>
      </c>
      <c r="C12" s="288">
        <v>225</v>
      </c>
      <c r="D12" s="438">
        <v>0.44</v>
      </c>
      <c r="E12" s="131">
        <f>+D12*C12</f>
        <v>99</v>
      </c>
      <c r="F12" s="131">
        <f>+E12/yield</f>
        <v>3.96</v>
      </c>
      <c r="G12" s="132"/>
    </row>
    <row r="13" spans="1:8" ht="15.6">
      <c r="A13" s="129" t="s">
        <v>511</v>
      </c>
      <c r="B13" s="129" t="s">
        <v>510</v>
      </c>
      <c r="C13" s="288">
        <v>90</v>
      </c>
      <c r="D13" s="419">
        <v>0.38</v>
      </c>
      <c r="E13" s="131">
        <f>+D13*C13</f>
        <v>34.200000000000003</v>
      </c>
      <c r="F13" s="131">
        <f>+E13/yield</f>
        <v>1.3680000000000001</v>
      </c>
      <c r="G13" s="137"/>
    </row>
    <row r="14" spans="1:8" ht="15.6">
      <c r="A14" s="129" t="s">
        <v>512</v>
      </c>
      <c r="B14" s="129" t="s">
        <v>510</v>
      </c>
      <c r="C14" s="288">
        <v>125</v>
      </c>
      <c r="D14" s="419">
        <v>0.28999999999999998</v>
      </c>
      <c r="E14" s="131">
        <f>+D14*C14</f>
        <v>36.25</v>
      </c>
      <c r="F14" s="131">
        <f>+E14/yield</f>
        <v>1.45</v>
      </c>
      <c r="G14" s="137"/>
    </row>
    <row r="15" spans="1:8" ht="15.6">
      <c r="A15" s="129" t="s">
        <v>513</v>
      </c>
      <c r="B15" s="129" t="s">
        <v>514</v>
      </c>
      <c r="C15" s="288">
        <v>1</v>
      </c>
      <c r="D15" s="419">
        <v>24.82</v>
      </c>
      <c r="E15" s="131">
        <f>+D15*C15</f>
        <v>24.82</v>
      </c>
      <c r="F15" s="131">
        <f>+E15/yield</f>
        <v>0.99280000000000002</v>
      </c>
      <c r="G15" s="137"/>
    </row>
    <row r="16" spans="1:8" ht="15.6">
      <c r="A16" s="129" t="s">
        <v>515</v>
      </c>
      <c r="B16" s="129" t="s">
        <v>514</v>
      </c>
      <c r="C16" s="288">
        <v>1</v>
      </c>
      <c r="D16" s="419">
        <v>6.53</v>
      </c>
      <c r="E16" s="131">
        <f>+D16*C16</f>
        <v>6.53</v>
      </c>
      <c r="F16" s="131">
        <f>+E16/yield</f>
        <v>0.26119999999999999</v>
      </c>
      <c r="G16" s="137"/>
    </row>
    <row r="17" spans="1:7" ht="15.6">
      <c r="A17" s="139" t="s">
        <v>516</v>
      </c>
      <c r="B17" s="129"/>
      <c r="C17" s="288"/>
      <c r="D17" s="419"/>
      <c r="E17" s="131"/>
      <c r="F17" s="131"/>
      <c r="G17" s="138"/>
    </row>
    <row r="18" spans="1:7" ht="15.6">
      <c r="A18" s="129" t="s">
        <v>517</v>
      </c>
      <c r="B18" s="129" t="s">
        <v>518</v>
      </c>
      <c r="C18" s="288">
        <v>3.73</v>
      </c>
      <c r="D18" s="419">
        <v>2.25</v>
      </c>
      <c r="E18" s="131">
        <f>+D18*C18</f>
        <v>8.3925000000000001</v>
      </c>
      <c r="F18" s="131">
        <f>+E18/yield</f>
        <v>0.3357</v>
      </c>
      <c r="G18" s="132"/>
    </row>
    <row r="19" spans="1:7" ht="15.6">
      <c r="A19" s="129" t="s">
        <v>519</v>
      </c>
      <c r="B19" s="129" t="s">
        <v>514</v>
      </c>
      <c r="C19" s="288">
        <v>1</v>
      </c>
      <c r="D19" s="419">
        <v>6.48</v>
      </c>
      <c r="E19" s="131">
        <f>+D19*C19</f>
        <v>6.48</v>
      </c>
      <c r="F19" s="131">
        <f>+E19/yield</f>
        <v>0.25920000000000004</v>
      </c>
      <c r="G19" s="137"/>
    </row>
    <row r="20" spans="1:7" ht="15.6">
      <c r="A20" s="154" t="s">
        <v>530</v>
      </c>
      <c r="B20" s="129" t="s">
        <v>521</v>
      </c>
      <c r="C20" s="288">
        <v>8</v>
      </c>
      <c r="D20" s="419">
        <v>12</v>
      </c>
      <c r="E20" s="131">
        <f>+D20*C20</f>
        <v>96</v>
      </c>
      <c r="F20" s="131">
        <f t="shared" ref="F20:F34" si="0">+E20/yield</f>
        <v>3.84</v>
      </c>
      <c r="G20" s="137"/>
    </row>
    <row r="21" spans="1:7" ht="15.6">
      <c r="A21" s="129" t="s">
        <v>522</v>
      </c>
      <c r="B21" s="129" t="s">
        <v>514</v>
      </c>
      <c r="C21" s="288">
        <v>1</v>
      </c>
      <c r="D21" s="419">
        <v>9</v>
      </c>
      <c r="E21" s="131">
        <f t="shared" ref="E21:E32" si="1">+D21*C21</f>
        <v>9</v>
      </c>
      <c r="F21" s="131">
        <f t="shared" si="0"/>
        <v>0.36</v>
      </c>
      <c r="G21" s="137"/>
    </row>
    <row r="22" spans="1:7" ht="15.6">
      <c r="A22" s="154" t="s">
        <v>616</v>
      </c>
      <c r="B22" s="129" t="s">
        <v>514</v>
      </c>
      <c r="C22" s="288">
        <v>1</v>
      </c>
      <c r="D22" s="419">
        <v>0</v>
      </c>
      <c r="E22" s="131">
        <f t="shared" si="1"/>
        <v>0</v>
      </c>
      <c r="F22" s="131">
        <f t="shared" si="0"/>
        <v>0</v>
      </c>
      <c r="G22" s="137"/>
    </row>
    <row r="23" spans="1:7" ht="15.6">
      <c r="A23" s="154" t="s">
        <v>617</v>
      </c>
      <c r="B23" s="129" t="s">
        <v>514</v>
      </c>
      <c r="C23" s="288">
        <v>1</v>
      </c>
      <c r="D23" s="419">
        <v>0</v>
      </c>
      <c r="E23" s="131">
        <f t="shared" ref="E23" si="2">+D23*C23</f>
        <v>0</v>
      </c>
      <c r="F23" s="131">
        <f t="shared" ref="F23" si="3">+E23/yield</f>
        <v>0</v>
      </c>
      <c r="G23" s="137"/>
    </row>
    <row r="24" spans="1:7" ht="15.6">
      <c r="A24" s="154" t="s">
        <v>618</v>
      </c>
      <c r="B24" s="129" t="s">
        <v>514</v>
      </c>
      <c r="C24" s="288">
        <v>1</v>
      </c>
      <c r="D24" s="419">
        <v>0</v>
      </c>
      <c r="E24" s="131">
        <f t="shared" ref="E24" si="4">+D24*C24</f>
        <v>0</v>
      </c>
      <c r="F24" s="131">
        <f t="shared" ref="F24" si="5">+E24/yield</f>
        <v>0</v>
      </c>
      <c r="G24" s="137"/>
    </row>
    <row r="25" spans="1:7" ht="15.6">
      <c r="A25" s="129" t="s">
        <v>523</v>
      </c>
      <c r="B25" s="129" t="s">
        <v>514</v>
      </c>
      <c r="C25" s="288">
        <v>1</v>
      </c>
      <c r="D25" s="419">
        <v>0</v>
      </c>
      <c r="E25" s="131">
        <f t="shared" si="1"/>
        <v>0</v>
      </c>
      <c r="F25" s="131">
        <f t="shared" si="0"/>
        <v>0</v>
      </c>
      <c r="G25" s="137"/>
    </row>
    <row r="26" spans="1:7">
      <c r="A26" s="141" t="s">
        <v>524</v>
      </c>
      <c r="B26" s="141"/>
      <c r="C26" s="142"/>
      <c r="D26" s="143"/>
      <c r="E26" s="143">
        <f>+SUM(E9:E25)</f>
        <v>395.02249999999998</v>
      </c>
      <c r="F26" s="143">
        <f t="shared" si="0"/>
        <v>15.800899999999999</v>
      </c>
      <c r="G26" s="141"/>
    </row>
    <row r="27" spans="1:7">
      <c r="A27" s="144" t="s">
        <v>531</v>
      </c>
      <c r="B27" s="129"/>
      <c r="C27" s="131"/>
      <c r="D27" s="140"/>
      <c r="E27" s="131"/>
      <c r="F27" s="131"/>
      <c r="G27" s="138"/>
    </row>
    <row r="28" spans="1:7">
      <c r="A28" s="139" t="s">
        <v>535</v>
      </c>
      <c r="B28" s="129"/>
      <c r="C28" s="130"/>
      <c r="D28" s="131"/>
      <c r="E28" s="131"/>
      <c r="F28" s="131"/>
      <c r="G28" s="138"/>
    </row>
    <row r="29" spans="1:7" ht="15.6">
      <c r="A29" s="129" t="s">
        <v>517</v>
      </c>
      <c r="B29" s="129" t="s">
        <v>518</v>
      </c>
      <c r="C29" s="288">
        <v>15</v>
      </c>
      <c r="D29" s="419">
        <v>2.25</v>
      </c>
      <c r="E29" s="131">
        <f>+D29*C29</f>
        <v>33.75</v>
      </c>
      <c r="F29" s="131">
        <f>+E29/yield</f>
        <v>1.35</v>
      </c>
      <c r="G29" s="132"/>
    </row>
    <row r="30" spans="1:7" ht="15.6">
      <c r="A30" s="129" t="s">
        <v>519</v>
      </c>
      <c r="B30" s="129" t="s">
        <v>514</v>
      </c>
      <c r="C30" s="288">
        <v>1</v>
      </c>
      <c r="D30" s="419">
        <v>75</v>
      </c>
      <c r="E30" s="131">
        <f>+D30*C30</f>
        <v>75</v>
      </c>
      <c r="F30" s="131">
        <f>+E30/yield</f>
        <v>3</v>
      </c>
      <c r="G30" s="137"/>
    </row>
    <row r="31" spans="1:7" ht="15.6">
      <c r="A31" s="145" t="s">
        <v>526</v>
      </c>
      <c r="B31" s="145" t="s">
        <v>507</v>
      </c>
      <c r="C31" s="288">
        <v>0</v>
      </c>
      <c r="D31" s="419">
        <v>10.5</v>
      </c>
      <c r="E31" s="147">
        <f t="shared" si="1"/>
        <v>0</v>
      </c>
      <c r="F31" s="147">
        <f t="shared" si="0"/>
        <v>0</v>
      </c>
      <c r="G31" s="132"/>
    </row>
    <row r="32" spans="1:7" ht="15.6">
      <c r="A32" s="148" t="s">
        <v>527</v>
      </c>
      <c r="B32" s="148" t="s">
        <v>507</v>
      </c>
      <c r="C32" s="288">
        <v>0</v>
      </c>
      <c r="D32" s="419">
        <v>8</v>
      </c>
      <c r="E32" s="147">
        <f t="shared" si="1"/>
        <v>0</v>
      </c>
      <c r="F32" s="147">
        <f t="shared" si="0"/>
        <v>0</v>
      </c>
      <c r="G32" s="145"/>
    </row>
    <row r="33" spans="1:7">
      <c r="A33" s="141" t="s">
        <v>528</v>
      </c>
      <c r="B33" s="141"/>
      <c r="C33" s="142"/>
      <c r="D33" s="143"/>
      <c r="E33" s="143">
        <f>+SUM(E28:E32)</f>
        <v>108.75</v>
      </c>
      <c r="F33" s="143">
        <f t="shared" si="0"/>
        <v>4.3499999999999996</v>
      </c>
      <c r="G33" s="141"/>
    </row>
    <row r="34" spans="1:7" ht="20.25" customHeight="1" thickBot="1">
      <c r="A34" s="149" t="s">
        <v>529</v>
      </c>
      <c r="B34" s="149"/>
      <c r="C34" s="150"/>
      <c r="D34" s="151"/>
      <c r="E34" s="151">
        <f>+E33+E26</f>
        <v>503.77249999999998</v>
      </c>
      <c r="F34" s="151">
        <f t="shared" si="0"/>
        <v>20.1509</v>
      </c>
      <c r="G34" s="149"/>
    </row>
    <row r="35" spans="1:7">
      <c r="A35" s="129"/>
      <c r="B35" s="129"/>
      <c r="C35" s="130"/>
      <c r="D35" s="131"/>
      <c r="E35" s="131"/>
      <c r="F35" s="131"/>
      <c r="G35" s="129"/>
    </row>
    <row r="36" spans="1:7">
      <c r="A36" s="155" t="s">
        <v>532</v>
      </c>
      <c r="B36" s="145"/>
      <c r="C36" s="146"/>
      <c r="D36" s="147"/>
      <c r="E36" s="147"/>
      <c r="F36" s="147"/>
      <c r="G36" s="145"/>
    </row>
    <row r="37" spans="1:7">
      <c r="A37" s="555" t="s">
        <v>701</v>
      </c>
      <c r="B37" s="555"/>
      <c r="C37" s="555"/>
      <c r="D37" s="555"/>
      <c r="E37" s="555"/>
      <c r="F37" s="555"/>
      <c r="G37" s="555"/>
    </row>
    <row r="38" spans="1:7">
      <c r="A38" s="555"/>
      <c r="B38" s="555"/>
      <c r="C38" s="555"/>
      <c r="D38" s="555"/>
      <c r="E38" s="555"/>
      <c r="F38" s="555"/>
      <c r="G38" s="555"/>
    </row>
    <row r="39" spans="1:7">
      <c r="A39" s="129"/>
      <c r="B39" s="129"/>
      <c r="C39" s="130"/>
      <c r="D39" s="131"/>
      <c r="E39" s="131"/>
      <c r="F39" s="131"/>
      <c r="G39" s="129"/>
    </row>
  </sheetData>
  <sheetProtection sheet="1" objects="1" scenarios="1"/>
  <mergeCells count="5">
    <mergeCell ref="A1:G1"/>
    <mergeCell ref="A2:G2"/>
    <mergeCell ref="A3:G3"/>
    <mergeCell ref="A37:G38"/>
    <mergeCell ref="E4:G4"/>
  </mergeCells>
  <phoneticPr fontId="19" type="noConversion"/>
  <hyperlinks>
    <hyperlink ref="E4" location="Main!A37" display="RETURN TO MAIN BUDGET" xr:uid="{00000000-0004-0000-0800-000000000000}"/>
    <hyperlink ref="F4" location="Main!A37" display="Main!A37" xr:uid="{00000000-0004-0000-0800-000001000000}"/>
    <hyperlink ref="G4" location="Main!A37" display="Main!A37" xr:uid="{00000000-0004-0000-0800-000002000000}"/>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148</vt:i4>
      </vt:variant>
    </vt:vector>
  </HeadingPairs>
  <TitlesOfParts>
    <vt:vector size="170" baseType="lpstr">
      <vt:lpstr>Information</vt:lpstr>
      <vt:lpstr>Monthly_Milk</vt:lpstr>
      <vt:lpstr>Main</vt:lpstr>
      <vt:lpstr>Fixed_Cost</vt:lpstr>
      <vt:lpstr>Feed</vt:lpstr>
      <vt:lpstr>Debt_Payments</vt:lpstr>
      <vt:lpstr>Feed_detail</vt:lpstr>
      <vt:lpstr>Raised Summary</vt:lpstr>
      <vt:lpstr>Corn_silage</vt:lpstr>
      <vt:lpstr>Sorghum_silage</vt:lpstr>
      <vt:lpstr>Winter_Silage</vt:lpstr>
      <vt:lpstr>Winter_Grazing</vt:lpstr>
      <vt:lpstr>Bermuda_hay</vt:lpstr>
      <vt:lpstr>PERMANENT_PASTURE</vt:lpstr>
      <vt:lpstr>E</vt:lpstr>
      <vt:lpstr>F</vt:lpstr>
      <vt:lpstr>G</vt:lpstr>
      <vt:lpstr>H</vt:lpstr>
      <vt:lpstr>I</vt:lpstr>
      <vt:lpstr>J</vt:lpstr>
      <vt:lpstr>K</vt:lpstr>
      <vt:lpstr>Payroll</vt:lpstr>
      <vt:lpstr>\0</vt:lpstr>
      <vt:lpstr>\A</vt:lpstr>
      <vt:lpstr>\C</vt:lpstr>
      <vt:lpstr>\E</vt:lpstr>
      <vt:lpstr>\I</vt:lpstr>
      <vt:lpstr>\L</vt:lpstr>
      <vt:lpstr>\O</vt:lpstr>
      <vt:lpstr>\Q</vt:lpstr>
      <vt:lpstr>\S</vt:lpstr>
      <vt:lpstr>\T</vt:lpstr>
      <vt:lpstr>\V</vt:lpstr>
      <vt:lpstr>\X</vt:lpstr>
      <vt:lpstr>\Y</vt:lpstr>
      <vt:lpstr>\Z</vt:lpstr>
      <vt:lpstr>_1PRINT.BETWEEN_</vt:lpstr>
      <vt:lpstr>_2TOTFORMAT</vt:lpstr>
      <vt:lpstr>_3_</vt:lpstr>
      <vt:lpstr>ACRES</vt:lpstr>
      <vt:lpstr>ADP</vt:lpstr>
      <vt:lpstr>AFC</vt:lpstr>
      <vt:lpstr>AVG_INV</vt:lpstr>
      <vt:lpstr>AVG_INV_INT</vt:lpstr>
      <vt:lpstr>PERMANENT_PASTURE!BERMUDA_PRODUCTION_COST</vt:lpstr>
      <vt:lpstr>BERMUDA_PRODUCTION_COST</vt:lpstr>
      <vt:lpstr>PERMANENT_PASTURE!bermuda_yield</vt:lpstr>
      <vt:lpstr>bermuda_yield</vt:lpstr>
      <vt:lpstr>bf</vt:lpstr>
      <vt:lpstr>bf_base</vt:lpstr>
      <vt:lpstr>bud_show</vt:lpstr>
      <vt:lpstr>bud_type</vt:lpstr>
      <vt:lpstr>build_dep</vt:lpstr>
      <vt:lpstr>bull_death</vt:lpstr>
      <vt:lpstr>CASHFORMAT</vt:lpstr>
      <vt:lpstr>CENTER</vt:lpstr>
      <vt:lpstr>Comsilage_prod_cost</vt:lpstr>
      <vt:lpstr>concentrate_price_dm</vt:lpstr>
      <vt:lpstr>conr_silage_milk</vt:lpstr>
      <vt:lpstr>corn_dry</vt:lpstr>
      <vt:lpstr>corn_hfrs</vt:lpstr>
      <vt:lpstr>corn_milk</vt:lpstr>
      <vt:lpstr>corn_price</vt:lpstr>
      <vt:lpstr>corn_silage_bred_hfrs</vt:lpstr>
      <vt:lpstr>corn_silage_dry_herd</vt:lpstr>
      <vt:lpstr>CORN_SILAGE_PRODUCTION</vt:lpstr>
      <vt:lpstr>corn_silage_yield</vt:lpstr>
      <vt:lpstr>corn_silage_yng_hfrs</vt:lpstr>
      <vt:lpstr>corn_yng_hfrs</vt:lpstr>
      <vt:lpstr>cows</vt:lpstr>
      <vt:lpstr>cull_rate</vt:lpstr>
      <vt:lpstr>death_loss</vt:lpstr>
      <vt:lpstr>DEBT2</vt:lpstr>
      <vt:lpstr>equip_pmt</vt:lpstr>
      <vt:lpstr>existing_pmt</vt:lpstr>
      <vt:lpstr>EXISTING_PMTS</vt:lpstr>
      <vt:lpstr>facil_avginv</vt:lpstr>
      <vt:lpstr>facil_fc</vt:lpstr>
      <vt:lpstr>facil_int</vt:lpstr>
      <vt:lpstr>facil_pmt</vt:lpstr>
      <vt:lpstr>FOOTER</vt:lpstr>
      <vt:lpstr>PERMANENT_PASTURE!HAY_PRODUCTION</vt:lpstr>
      <vt:lpstr>HAY_PRODUCTION</vt:lpstr>
      <vt:lpstr>heifer_death</vt:lpstr>
      <vt:lpstr>HEIFERS_RAISED</vt:lpstr>
      <vt:lpstr>impl_avginv</vt:lpstr>
      <vt:lpstr>impl_dep</vt:lpstr>
      <vt:lpstr>impl_fc</vt:lpstr>
      <vt:lpstr>impl_int</vt:lpstr>
      <vt:lpstr>INS_PMT</vt:lpstr>
      <vt:lpstr>INS_RATE</vt:lpstr>
      <vt:lpstr>interval</vt:lpstr>
      <vt:lpstr>INV_RATE</vt:lpstr>
      <vt:lpstr>lactations</vt:lpstr>
      <vt:lpstr>land_fc</vt:lpstr>
      <vt:lpstr>land_int</vt:lpstr>
      <vt:lpstr>land_inv</vt:lpstr>
      <vt:lpstr>land_pmt</vt:lpstr>
      <vt:lpstr>lvst_int</vt:lpstr>
      <vt:lpstr>lvstk_dep</vt:lpstr>
      <vt:lpstr>lvstk_fc</vt:lpstr>
      <vt:lpstr>lvstk_inv</vt:lpstr>
      <vt:lpstr>lvstk_pmt</vt:lpstr>
      <vt:lpstr>MILK</vt:lpstr>
      <vt:lpstr>MILK_PRICE</vt:lpstr>
      <vt:lpstr>MILK_PROD</vt:lpstr>
      <vt:lpstr>MILK_SALES</vt:lpstr>
      <vt:lpstr>PASTURE_YIELD</vt:lpstr>
      <vt:lpstr>payroll_total</vt:lpstr>
      <vt:lpstr>PERM_PASTURE_PRODUCTION</vt:lpstr>
      <vt:lpstr>permanent_pasture_cost</vt:lpstr>
      <vt:lpstr>PG</vt:lpstr>
      <vt:lpstr>Bermuda_hay!Print_Area</vt:lpstr>
      <vt:lpstr>Corn_silage!Print_Area</vt:lpstr>
      <vt:lpstr>Feed!Print_Area</vt:lpstr>
      <vt:lpstr>Fixed_Cost!Print_Area</vt:lpstr>
      <vt:lpstr>Main!Print_Area</vt:lpstr>
      <vt:lpstr>Payroll!Print_Area</vt:lpstr>
      <vt:lpstr>PERMANENT_PASTURE!Print_Area</vt:lpstr>
      <vt:lpstr>'Raised Summary'!Print_Area</vt:lpstr>
      <vt:lpstr>Sorghum_silage!Print_Area</vt:lpstr>
      <vt:lpstr>Winter_Grazing!Print_Area</vt:lpstr>
      <vt:lpstr>Winter_Silage!Print_Area</vt:lpstr>
      <vt:lpstr>Fixed_Cost!Print_Titles</vt:lpstr>
      <vt:lpstr>PRINTIT</vt:lpstr>
      <vt:lpstr>PRINTOP</vt:lpstr>
      <vt:lpstr>PRINTTHREE</vt:lpstr>
      <vt:lpstr>silage_dm_price</vt:lpstr>
      <vt:lpstr>sold</vt:lpstr>
      <vt:lpstr>SORGHUM_PRODUCTION</vt:lpstr>
      <vt:lpstr>sorghum_sialge_bred_hfrs</vt:lpstr>
      <vt:lpstr>sorghum_sil_dry</vt:lpstr>
      <vt:lpstr>sorghum_yield</vt:lpstr>
      <vt:lpstr>SPINVAL</vt:lpstr>
      <vt:lpstr>t85_bred_hfrs</vt:lpstr>
      <vt:lpstr>t85_dry</vt:lpstr>
      <vt:lpstr>t85_young_hfrs</vt:lpstr>
      <vt:lpstr>tfc</vt:lpstr>
      <vt:lpstr>total_feed</vt:lpstr>
      <vt:lpstr>TOTAL_INV</vt:lpstr>
      <vt:lpstr>TOTAL_MILK_PROD</vt:lpstr>
      <vt:lpstr>total_monthly_milk_prod</vt:lpstr>
      <vt:lpstr>total_monthly_rev</vt:lpstr>
      <vt:lpstr>Winter_Silage!TOTAL_OPS_COST</vt:lpstr>
      <vt:lpstr>TOTAL_PMT</vt:lpstr>
      <vt:lpstr>TOTAL_PRODUCTION</vt:lpstr>
      <vt:lpstr>total_rev</vt:lpstr>
      <vt:lpstr>tractor_dep</vt:lpstr>
      <vt:lpstr>Corn_silage!TVC</vt:lpstr>
      <vt:lpstr>tvc_milk_production</vt:lpstr>
      <vt:lpstr>tvc_sorghum</vt:lpstr>
      <vt:lpstr>UN</vt:lpstr>
      <vt:lpstr>waste_dep</vt:lpstr>
      <vt:lpstr>waste_fc</vt:lpstr>
      <vt:lpstr>waste_int</vt:lpstr>
      <vt:lpstr>waste_inv</vt:lpstr>
      <vt:lpstr>WASTE_MGMT_PMT</vt:lpstr>
      <vt:lpstr>winter_ann_sil_milking</vt:lpstr>
      <vt:lpstr>Winter_Grazing!WINTER_ANNUAL_COST</vt:lpstr>
      <vt:lpstr>WINTER_ANNUAL_COST</vt:lpstr>
      <vt:lpstr>Winter_Grazing!WINTER_ANNUAL_PRODUCTION</vt:lpstr>
      <vt:lpstr>WINTER_ANNUAL_PRODUCTION</vt:lpstr>
      <vt:lpstr>winter_annual_silage_price</vt:lpstr>
      <vt:lpstr>Winter_Grazing!WINTER_ANNUAL_YIELD</vt:lpstr>
      <vt:lpstr>WINTER_ANNUAL_YIELD</vt:lpstr>
      <vt:lpstr>WINTER_GRAZING_COST</vt:lpstr>
      <vt:lpstr>winter_grazing_production</vt:lpstr>
      <vt:lpstr>Winter_grz_yld</vt:lpstr>
      <vt:lpstr>Sorghum_silage!yield</vt:lpstr>
      <vt:lpstr>yield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Levi</cp:lastModifiedBy>
  <cp:lastPrinted>2015-01-21T20:05:12Z</cp:lastPrinted>
  <dcterms:created xsi:type="dcterms:W3CDTF">2000-05-10T18:03:33Z</dcterms:created>
  <dcterms:modified xsi:type="dcterms:W3CDTF">2018-01-18T20:48:27Z</dcterms:modified>
</cp:coreProperties>
</file>