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0" yWindow="460" windowWidth="1226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/>
  <c r="E25" i="7"/>
  <c r="F25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F10" i="6"/>
  <c r="G10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D29" i="6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D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D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40" i="3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C4" i="5"/>
  <c r="K22" i="4"/>
  <c r="K21" i="4"/>
  <c r="K23" i="4"/>
  <c r="N3" i="4"/>
  <c r="Z4" i="3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H6" i="4"/>
  <c r="I6" i="4"/>
  <c r="B53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6" i="6"/>
  <c r="B57" i="6"/>
  <c r="B58" i="6"/>
  <c r="B59" i="6"/>
  <c r="E54" i="6"/>
  <c r="B52" i="6"/>
  <c r="B50" i="6"/>
  <c r="G44" i="6"/>
  <c r="G43" i="6"/>
  <c r="F39" i="6"/>
  <c r="G39" i="6"/>
  <c r="F38" i="6"/>
  <c r="G38" i="6"/>
  <c r="F46" i="7"/>
  <c r="E46" i="7"/>
  <c r="E18" i="6"/>
  <c r="F18" i="6"/>
  <c r="G18" i="6"/>
  <c r="C54" i="6"/>
  <c r="G54" i="6"/>
  <c r="D54" i="6"/>
  <c r="F54" i="6"/>
  <c r="E31" i="7"/>
  <c r="F31" i="7"/>
  <c r="E30" i="7"/>
  <c r="F30" i="7"/>
  <c r="E29" i="7"/>
  <c r="F29" i="7"/>
  <c r="E28" i="7"/>
  <c r="F28" i="7"/>
  <c r="E27" i="7"/>
  <c r="F27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7" i="6"/>
  <c r="G27" i="6"/>
  <c r="F26" i="6"/>
  <c r="G26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7" i="6"/>
  <c r="F17" i="6"/>
  <c r="G17" i="6"/>
  <c r="F32" i="7"/>
  <c r="J6" i="4"/>
  <c r="G3" i="5"/>
  <c r="Q3" i="5"/>
  <c r="G5" i="5"/>
  <c r="G6" i="5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6" i="6"/>
  <c r="U8" i="5"/>
  <c r="U3" i="5"/>
  <c r="R6" i="5"/>
  <c r="G19" i="4"/>
  <c r="H4" i="4"/>
  <c r="I4" i="4"/>
  <c r="H7" i="4"/>
  <c r="I7" i="4"/>
  <c r="H5" i="5"/>
  <c r="I5" i="5"/>
  <c r="E4" i="5"/>
  <c r="G4" i="5"/>
  <c r="H4" i="5"/>
  <c r="E3" i="4"/>
  <c r="H3" i="4"/>
  <c r="P5" i="4"/>
  <c r="Q5" i="4"/>
  <c r="P7" i="4"/>
  <c r="Q7" i="4"/>
  <c r="P5" i="5"/>
  <c r="Q5" i="5"/>
  <c r="R5" i="5"/>
  <c r="G75" i="6"/>
  <c r="P8" i="4"/>
  <c r="Q8" i="4"/>
  <c r="P3" i="4"/>
  <c r="P6" i="4"/>
  <c r="P4" i="4"/>
  <c r="Q4" i="4"/>
  <c r="H8" i="4"/>
  <c r="I8" i="4"/>
  <c r="H5" i="4"/>
  <c r="I5" i="4"/>
  <c r="I4" i="5"/>
  <c r="T4" i="5"/>
  <c r="O4" i="5"/>
  <c r="O11" i="5"/>
  <c r="D23" i="6"/>
  <c r="F23" i="6"/>
  <c r="G23" i="6"/>
  <c r="Q4" i="5"/>
  <c r="G11" i="5"/>
  <c r="AE17" i="3"/>
  <c r="AE14" i="3"/>
  <c r="AE34" i="3"/>
  <c r="AE8" i="3"/>
  <c r="AE42" i="3"/>
  <c r="AE15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24" i="3"/>
  <c r="AE40" i="3"/>
  <c r="AE20" i="3"/>
  <c r="AE30" i="3"/>
  <c r="AE27" i="3"/>
  <c r="R4" i="5"/>
  <c r="G74" i="6"/>
  <c r="G76" i="6"/>
  <c r="S6" i="4"/>
  <c r="T6" i="4"/>
  <c r="S4" i="4"/>
  <c r="T4" i="4"/>
  <c r="AE18" i="3"/>
  <c r="AE43" i="3"/>
  <c r="AE32" i="3"/>
  <c r="AE29" i="3"/>
  <c r="K24" i="4"/>
  <c r="J4" i="4"/>
  <c r="J7" i="4"/>
  <c r="AE16" i="3"/>
  <c r="AE13" i="3"/>
  <c r="AE22" i="3"/>
  <c r="AE37" i="3"/>
  <c r="AE6" i="3"/>
  <c r="AE31" i="3"/>
  <c r="G15" i="4"/>
  <c r="D25" i="6"/>
  <c r="F25" i="6"/>
  <c r="Q6" i="4"/>
  <c r="R6" i="4"/>
  <c r="G67" i="6"/>
  <c r="Q10" i="4"/>
  <c r="R10" i="4"/>
  <c r="T10" i="4"/>
  <c r="U10" i="4"/>
  <c r="O5" i="4"/>
  <c r="Q9" i="4"/>
  <c r="R9" i="4"/>
  <c r="O7" i="4"/>
  <c r="R7" i="4"/>
  <c r="G68" i="6"/>
  <c r="U9" i="4"/>
  <c r="R5" i="4"/>
  <c r="G66" i="6"/>
  <c r="R13" i="4"/>
  <c r="R11" i="4"/>
  <c r="R12" i="4"/>
  <c r="R4" i="4"/>
  <c r="G65" i="6"/>
  <c r="R8" i="4"/>
  <c r="G69" i="6"/>
  <c r="R14" i="4"/>
  <c r="I24" i="4"/>
  <c r="M24" i="4"/>
  <c r="I3" i="4"/>
  <c r="Q3" i="4"/>
  <c r="AE38" i="3"/>
  <c r="R11" i="5"/>
  <c r="E24" i="6"/>
  <c r="F24" i="6"/>
  <c r="G24" i="6"/>
  <c r="AE10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4" i="6"/>
  <c r="J5" i="5"/>
  <c r="K5" i="5"/>
  <c r="J3" i="4"/>
  <c r="K3" i="4"/>
  <c r="M3" i="4"/>
  <c r="J4" i="5"/>
  <c r="K4" i="5"/>
  <c r="U4" i="5"/>
  <c r="H74" i="6"/>
  <c r="AE25" i="3"/>
  <c r="S5" i="4"/>
  <c r="T5" i="4"/>
  <c r="S8" i="4"/>
  <c r="T8" i="4"/>
  <c r="S7" i="4"/>
  <c r="T7" i="4"/>
  <c r="S5" i="5"/>
  <c r="T5" i="5"/>
  <c r="U5" i="5"/>
  <c r="S3" i="4"/>
  <c r="T3" i="4"/>
  <c r="U3" i="4"/>
  <c r="H64" i="6"/>
  <c r="F74" i="6"/>
  <c r="C74" i="6"/>
  <c r="D74" i="6"/>
  <c r="B74" i="6"/>
  <c r="K7" i="4"/>
  <c r="M7" i="4"/>
  <c r="K6" i="4"/>
  <c r="M6" i="4"/>
  <c r="K4" i="4"/>
  <c r="M4" i="4"/>
  <c r="R15" i="4"/>
  <c r="E21" i="6"/>
  <c r="F21" i="6"/>
  <c r="D28" i="6"/>
  <c r="F28" i="6"/>
  <c r="G28" i="6"/>
  <c r="G70" i="6"/>
  <c r="H75" i="6"/>
  <c r="U11" i="5"/>
  <c r="E35" i="6"/>
  <c r="F35" i="6"/>
  <c r="G35" i="6"/>
  <c r="J5" i="4"/>
  <c r="K5" i="4"/>
  <c r="M5" i="4"/>
  <c r="J8" i="4"/>
  <c r="K8" i="4"/>
  <c r="E74" i="6"/>
  <c r="F64" i="6"/>
  <c r="D64" i="6"/>
  <c r="C64" i="6"/>
  <c r="B64" i="6"/>
  <c r="U4" i="4"/>
  <c r="H65" i="6"/>
  <c r="U6" i="4"/>
  <c r="H67" i="6"/>
  <c r="U7" i="4"/>
  <c r="H68" i="6"/>
  <c r="G21" i="6"/>
  <c r="G30" i="6"/>
  <c r="F30" i="6"/>
  <c r="U5" i="4"/>
  <c r="H66" i="6"/>
  <c r="B66" i="6"/>
  <c r="F75" i="6"/>
  <c r="F76" i="6"/>
  <c r="C75" i="6"/>
  <c r="H76" i="6"/>
  <c r="D75" i="6"/>
  <c r="B75" i="6"/>
  <c r="M8" i="4"/>
  <c r="U8" i="4"/>
  <c r="H69" i="6"/>
  <c r="H70" i="6"/>
  <c r="B68" i="6"/>
  <c r="C68" i="6"/>
  <c r="D68" i="6"/>
  <c r="F68" i="6"/>
  <c r="B67" i="6"/>
  <c r="C67" i="6"/>
  <c r="D67" i="6"/>
  <c r="F67" i="6"/>
  <c r="C66" i="6"/>
  <c r="D66" i="6"/>
  <c r="E64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6" i="6"/>
  <c r="F36" i="6"/>
  <c r="G36" i="6"/>
  <c r="D37" i="6"/>
  <c r="F37" i="6"/>
  <c r="G37" i="6"/>
  <c r="E75" i="6"/>
  <c r="E76" i="6"/>
  <c r="F66" i="6"/>
  <c r="U15" i="4"/>
  <c r="E34" i="6"/>
  <c r="F34" i="6"/>
  <c r="G34" i="6"/>
  <c r="G40" i="6"/>
  <c r="G42" i="6"/>
  <c r="F69" i="6"/>
  <c r="B69" i="6"/>
  <c r="C69" i="6"/>
  <c r="D69" i="6"/>
  <c r="E67" i="6"/>
  <c r="E66" i="6"/>
  <c r="E68" i="6"/>
  <c r="E65" i="6"/>
  <c r="E69" i="6"/>
  <c r="F40" i="6"/>
  <c r="F42" i="6"/>
  <c r="F70" i="6"/>
  <c r="E70" i="6"/>
</calcChain>
</file>

<file path=xl/sharedStrings.xml><?xml version="1.0" encoding="utf-8"?>
<sst xmlns="http://schemas.openxmlformats.org/spreadsheetml/2006/main" count="1994" uniqueCount="525">
  <si>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</si>
  <si>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</si>
  <si>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</si>
  <si>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</si>
  <si>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</si>
  <si>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</si>
  <si>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</si>
  <si>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</si>
  <si>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</si>
  <si>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</si>
  <si>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</si>
  <si>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</si>
  <si>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</si>
  <si>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</si>
  <si>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</si>
  <si>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</si>
  <si>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</si>
  <si>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</si>
  <si>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</si>
  <si>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</si>
  <si>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</si>
  <si>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</si>
  <si>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</si>
  <si>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</si>
  <si>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</si>
  <si>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</si>
  <si>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</si>
  <si>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</si>
  <si>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</si>
  <si>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</si>
  <si>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</si>
  <si>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</si>
  <si>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</si>
  <si>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</si>
  <si>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</si>
  <si>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</si>
  <si>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</si>
  <si>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</si>
  <si>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</si>
  <si>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</si>
  <si>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</si>
  <si>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</si>
  <si>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</si>
  <si>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</si>
  <si>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</si>
  <si>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</si>
  <si>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</si>
  <si>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</si>
  <si>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</si>
  <si>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</si>
  <si>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</si>
  <si>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</si>
  <si>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</si>
  <si>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</si>
  <si>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</si>
  <si>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</si>
  <si>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</si>
  <si>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</si>
  <si>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</si>
  <si>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</si>
  <si>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</si>
  <si>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</si>
  <si>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</si>
  <si>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</si>
  <si>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</si>
  <si>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</si>
  <si>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</si>
  <si>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</si>
  <si>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</si>
  <si>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</si>
  <si>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</si>
  <si>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</si>
  <si>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</si>
  <si>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</si>
  <si>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</si>
  <si>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</si>
  <si>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</si>
  <si>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</si>
  <si>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</si>
  <si>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</si>
  <si>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</si>
  <si>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</si>
  <si>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</si>
  <si>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</si>
  <si>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</si>
  <si>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</si>
  <si>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</si>
  <si>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</si>
  <si>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</si>
  <si>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</si>
  <si>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</si>
  <si>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</si>
  <si>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</si>
  <si>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</si>
  <si>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</si>
  <si>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</si>
  <si>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</si>
  <si>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</si>
  <si>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</si>
  <si>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</si>
  <si>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</si>
  <si>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</si>
  <si>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</si>
  <si>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</si>
  <si>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</si>
  <si>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</si>
  <si>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</si>
  <si>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</si>
  <si>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</si>
  <si>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</si>
  <si>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</si>
  <si>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</si>
  <si>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</si>
  <si>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</si>
  <si>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</si>
  <si>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</si>
  <si>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</si>
  <si>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</si>
  <si>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</si>
  <si>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</si>
  <si>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</si>
  <si>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</si>
  <si>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</si>
  <si>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</si>
  <si>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</si>
  <si>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</si>
  <si>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</si>
  <si>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</si>
  <si>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</si>
  <si>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</si>
  <si>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</si>
  <si>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</si>
  <si>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</si>
  <si>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</si>
  <si>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</si>
  <si>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</si>
  <si>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</si>
  <si>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</si>
  <si>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</si>
  <si>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</si>
  <si>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</si>
  <si>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</si>
  <si>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</si>
  <si>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</si>
  <si>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</si>
  <si>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</si>
  <si>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</si>
  <si>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</si>
  <si>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</si>
  <si>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</si>
  <si>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</si>
  <si>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</si>
  <si>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</si>
  <si>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</si>
  <si>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</si>
  <si>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</si>
  <si>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</si>
  <si>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</si>
  <si>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</si>
  <si>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</si>
  <si>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</si>
  <si>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</si>
  <si>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</si>
  <si>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</si>
  <si>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</si>
  <si>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</si>
  <si>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</si>
  <si>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</si>
  <si>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</si>
  <si>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</si>
  <si>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</si>
  <si>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</si>
  <si>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</si>
  <si>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</si>
  <si>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</si>
  <si>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</si>
  <si>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</si>
  <si>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</si>
  <si>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</si>
  <si>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</si>
  <si>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</si>
  <si>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</si>
  <si>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</si>
  <si>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</si>
  <si>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</si>
  <si>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</si>
  <si>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</si>
  <si>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</si>
  <si>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</si>
  <si>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</si>
  <si>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</si>
  <si>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</si>
  <si>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</si>
  <si>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</si>
  <si>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</si>
  <si>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</si>
  <si>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</si>
  <si>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</si>
  <si>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</si>
  <si>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</si>
  <si>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</si>
  <si>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</si>
  <si>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</si>
  <si>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</si>
  <si>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</si>
  <si>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</si>
  <si>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</si>
  <si>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</si>
  <si>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</si>
  <si>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</si>
  <si>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</si>
  <si>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</si>
  <si>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</si>
  <si>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</si>
  <si>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</si>
  <si>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</si>
  <si>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</si>
  <si>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</si>
  <si>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</si>
  <si>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</si>
  <si>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</si>
  <si>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</si>
  <si>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</si>
  <si>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</si>
  <si>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</si>
  <si>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</si>
  <si>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</si>
  <si>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</si>
  <si>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</si>
  <si>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</si>
  <si>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</si>
  <si>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</si>
  <si>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</si>
  <si>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</si>
  <si>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</si>
  <si>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</si>
  <si>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</si>
  <si>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</si>
  <si>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</si>
  <si>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</si>
  <si>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</si>
  <si>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</si>
  <si>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</si>
  <si>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</si>
  <si>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</si>
  <si>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</si>
  <si>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</si>
  <si>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</si>
  <si>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</si>
  <si>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</si>
  <si>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</si>
  <si>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</si>
  <si>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</si>
  <si>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</si>
  <si>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</si>
  <si>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</si>
  <si>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</si>
  <si>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</si>
  <si>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</si>
  <si>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</si>
  <si>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</si>
  <si>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</si>
  <si>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</si>
  <si>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</si>
  <si>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</si>
  <si>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</si>
  <si>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</si>
  <si>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</si>
  <si>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</si>
  <si>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</si>
  <si>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</si>
  <si>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</si>
  <si>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</si>
  <si>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</si>
  <si>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</si>
  <si>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</si>
  <si>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</si>
  <si>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</si>
  <si>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</si>
  <si>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</si>
  <si>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</si>
  <si>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</si>
  <si>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</si>
  <si>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</si>
  <si>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</si>
  <si>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</si>
  <si>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</si>
  <si>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</si>
  <si>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</si>
  <si>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</si>
  <si>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</si>
  <si>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</si>
  <si>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</si>
  <si>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</si>
  <si>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</si>
  <si>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</si>
  <si>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</si>
  <si>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</si>
  <si>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</si>
  <si>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</si>
  <si>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</si>
  <si>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</si>
  <si>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</si>
  <si>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</si>
  <si>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</si>
  <si>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</si>
  <si>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</si>
  <si>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</si>
  <si>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</si>
  <si>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</si>
  <si>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</si>
  <si>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</si>
  <si>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</si>
  <si>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</si>
  <si>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</si>
  <si>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</si>
  <si>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</si>
  <si>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</si>
  <si>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</si>
  <si>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</si>
  <si>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</si>
  <si>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</si>
  <si>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</si>
  <si>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</si>
  <si>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</si>
  <si>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</si>
  <si>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</si>
  <si>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</si>
  <si>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</si>
  <si>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</si>
  <si>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</si>
  <si>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</si>
  <si>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</si>
  <si>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</si>
  <si>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</si>
  <si>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</si>
  <si>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</si>
  <si>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</si>
  <si>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</si>
  <si>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</si>
  <si>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</si>
  <si>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</si>
  <si>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</si>
  <si>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</si>
  <si>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</si>
  <si>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</si>
  <si>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</si>
  <si>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</si>
  <si>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</si>
  <si>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</si>
  <si>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</si>
  <si>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</si>
  <si>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</si>
  <si>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</si>
  <si>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</si>
  <si>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</si>
  <si>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</si>
  <si>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</si>
  <si>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</si>
  <si>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</si>
  <si>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</si>
  <si>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</si>
  <si>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</si>
  <si>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</si>
  <si>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</si>
  <si>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</si>
  <si>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</si>
  <si>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</si>
  <si>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</si>
  <si>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</si>
  <si>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</si>
  <si>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</si>
  <si>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</si>
  <si>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</si>
  <si>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</si>
  <si>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</si>
  <si>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</si>
  <si>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</si>
  <si>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</si>
  <si>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</si>
  <si>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</si>
  <si>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</si>
  <si>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</si>
  <si>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</si>
  <si>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</si>
  <si>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</si>
  <si>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</si>
  <si>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</si>
  <si>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</si>
  <si>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</si>
  <si>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</si>
  <si>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</si>
  <si>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</si>
  <si>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</si>
  <si>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</si>
  <si>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</si>
  <si>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</si>
  <si>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</si>
  <si>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</si>
  <si>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</si>
  <si>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</si>
  <si>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</si>
  <si>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</si>
  <si>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</si>
  <si>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</si>
  <si>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</si>
  <si>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</si>
  <si>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</si>
  <si>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</si>
  <si>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</si>
  <si>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</si>
  <si>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</si>
  <si>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</si>
  <si>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</si>
  <si>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</si>
  <si>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</si>
  <si>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</si>
  <si>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</si>
  <si>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</si>
  <si>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</si>
  <si>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</si>
  <si>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</si>
  <si>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</si>
  <si>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</si>
  <si>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</si>
  <si>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</si>
  <si>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</si>
  <si>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</si>
  <si>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</si>
  <si>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</si>
  <si>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</si>
  <si>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</si>
  <si>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</si>
  <si>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</si>
  <si>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</si>
  <si>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</si>
  <si>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</si>
  <si>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</si>
  <si>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</si>
  <si>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</si>
  <si>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</si>
  <si>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</si>
  <si>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</si>
  <si>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</si>
  <si>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</si>
  <si>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</si>
  <si>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</si>
  <si>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</si>
  <si>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</si>
  <si>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</si>
  <si>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</si>
  <si>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</si>
  <si>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</si>
  <si>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</si>
  <si>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</si>
  <si>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</si>
  <si>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</si>
  <si>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</si>
  <si>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</si>
  <si>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</si>
  <si>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</si>
  <si>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</si>
  <si>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</si>
  <si>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</si>
  <si>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</si>
  <si>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</si>
  <si>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</si>
  <si>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</si>
  <si>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</si>
  <si>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</si>
  <si>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</si>
  <si>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</si>
  <si>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</si>
  <si>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</si>
  <si>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</si>
  <si>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</si>
  <si>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</si>
  <si>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</si>
  <si>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</si>
  <si>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</si>
  <si>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</si>
  <si>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</si>
  <si>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</si>
  <si>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</si>
  <si>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</si>
  <si>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</si>
  <si>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</si>
  <si>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</si>
  <si>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</si>
  <si>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</si>
  <si>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</si>
  <si>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</si>
  <si>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</si>
  <si>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</si>
  <si>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</si>
  <si>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</si>
  <si>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</si>
  <si>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</si>
  <si>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</si>
  <si>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</si>
  <si>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</si>
  <si>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</si>
  <si>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</si>
  <si>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</si>
  <si>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</si>
  <si>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</si>
  <si>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</si>
  <si>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</si>
  <si>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</si>
  <si>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</si>
  <si>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</si>
  <si>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</si>
  <si>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</si>
  <si>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</si>
  <si>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Treated Seed</t>
  </si>
  <si>
    <t>oz</t>
  </si>
  <si>
    <t>Developed by Amanda Smith and Adam Rabinowitz</t>
  </si>
  <si>
    <t>South Georgia, 2018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</si>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</sst>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110" zoomScaleNormal="110" zoomScalePageLayoutView="110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64" t="s">
        <v>508</v>
      </c>
      <c r="C1" s="264"/>
      <c r="D1" s="264"/>
      <c r="E1" s="264"/>
      <c r="F1" s="264"/>
      <c r="G1" s="264"/>
      <c r="H1" s="264"/>
      <c r="I1" s="57"/>
    </row>
    <row r="2" spans="1:9" x14ac:dyDescent="0.2">
      <c r="B2" s="264" t="s">
        <v>517</v>
      </c>
      <c r="C2" s="264"/>
      <c r="D2" s="264"/>
      <c r="E2" s="264"/>
      <c r="F2" s="264"/>
      <c r="G2" s="264"/>
      <c r="H2" s="26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4" t="s">
        <v>363</v>
      </c>
      <c r="C4" s="264"/>
      <c r="D4" s="264"/>
      <c r="E4" s="264"/>
      <c r="F4" s="264"/>
      <c r="G4" s="264"/>
      <c r="H4" s="264"/>
      <c r="I4" s="57"/>
    </row>
    <row r="6" spans="1:9" x14ac:dyDescent="0.2">
      <c r="B6" s="77" t="s">
        <v>364</v>
      </c>
      <c r="C6" s="57">
        <v>65</v>
      </c>
      <c r="D6" t="s">
        <v>484</v>
      </c>
      <c r="E6" t="s">
        <v>512</v>
      </c>
    </row>
    <row r="7" spans="1:9" x14ac:dyDescent="0.2">
      <c r="F7" s="247"/>
    </row>
    <row r="8" spans="1:9" x14ac:dyDescent="0.2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 x14ac:dyDescent="0.2">
      <c r="B9" s="224" t="s">
        <v>514</v>
      </c>
      <c r="C9" t="s">
        <v>376</v>
      </c>
      <c r="D9">
        <v>55</v>
      </c>
      <c r="E9" s="41">
        <v>0.25</v>
      </c>
      <c r="F9" s="41">
        <f>E9*D9</f>
        <v>13.75</v>
      </c>
      <c r="G9" s="78">
        <f>F9/yield</f>
        <v>0.21153846153846154</v>
      </c>
    </row>
    <row r="10" spans="1:9" s="224" customFormat="1" x14ac:dyDescent="0.2">
      <c r="B10" s="224" t="s">
        <v>509</v>
      </c>
      <c r="C10" s="224" t="s">
        <v>484</v>
      </c>
      <c r="D10" s="224">
        <v>1.5</v>
      </c>
      <c r="E10" s="225">
        <v>15</v>
      </c>
      <c r="F10" s="225">
        <f>E10*D10</f>
        <v>22.5</v>
      </c>
      <c r="G10" s="226">
        <f>F10/yield</f>
        <v>0.34615384615384615</v>
      </c>
      <c r="H10" s="247"/>
    </row>
    <row r="11" spans="1:9" x14ac:dyDescent="0.2">
      <c r="B11" t="s">
        <v>355</v>
      </c>
      <c r="C11" t="s">
        <v>377</v>
      </c>
      <c r="D11">
        <f>'Fert, Weed, Insct, Dis'!$C$6</f>
        <v>0.25</v>
      </c>
      <c r="E11" s="78">
        <f>'Fert, Weed, Insct, Dis'!$D$6</f>
        <v>43</v>
      </c>
      <c r="F11" s="41">
        <f>E11*D11</f>
        <v>10.75</v>
      </c>
      <c r="G11" s="78">
        <f>F11/yield</f>
        <v>0.16538461538461538</v>
      </c>
      <c r="H11" s="247"/>
    </row>
    <row r="12" spans="1:9" x14ac:dyDescent="0.2">
      <c r="A12" s="156" t="s">
        <v>432</v>
      </c>
      <c r="B12" t="s">
        <v>368</v>
      </c>
      <c r="F12" s="41"/>
      <c r="G12" s="78"/>
    </row>
    <row r="13" spans="1:9" x14ac:dyDescent="0.2">
      <c r="B13" s="107" t="s">
        <v>369</v>
      </c>
      <c r="C13" t="s">
        <v>361</v>
      </c>
      <c r="D13">
        <f>'Fert, Weed, Insct, Dis'!$C$3</f>
        <v>80</v>
      </c>
      <c r="E13" s="78">
        <f>'Fert, Weed, Insct, Dis'!$D$3</f>
        <v>0.44</v>
      </c>
      <c r="F13" s="41">
        <f t="shared" ref="F13:F18" si="0">E13*D13</f>
        <v>35.200000000000003</v>
      </c>
      <c r="G13" s="78">
        <f t="shared" ref="G13:G18" si="1">F13/yield</f>
        <v>0.54153846153846164</v>
      </c>
    </row>
    <row r="14" spans="1:9" x14ac:dyDescent="0.2">
      <c r="B14" s="107" t="s">
        <v>370</v>
      </c>
      <c r="C14" t="s">
        <v>361</v>
      </c>
      <c r="D14">
        <f>'Fert, Weed, Insct, Dis'!$C$4</f>
        <v>40</v>
      </c>
      <c r="E14" s="78">
        <f>'Fert, Weed, Insct, Dis'!$D$4</f>
        <v>0.38</v>
      </c>
      <c r="F14" s="41">
        <f t="shared" si="0"/>
        <v>15.2</v>
      </c>
      <c r="G14" s="78">
        <f t="shared" si="1"/>
        <v>0.23384615384615384</v>
      </c>
      <c r="H14" s="247"/>
    </row>
    <row r="15" spans="1:9" x14ac:dyDescent="0.2">
      <c r="B15" s="107" t="s">
        <v>371</v>
      </c>
      <c r="C15" t="s">
        <v>361</v>
      </c>
      <c r="D15">
        <f>'Fert, Weed, Insct, Dis'!$C$5</f>
        <v>60</v>
      </c>
      <c r="E15" s="78">
        <f>'Fert, Weed, Insct, Dis'!$D$5</f>
        <v>0.28999999999999998</v>
      </c>
      <c r="F15" s="41">
        <f t="shared" si="0"/>
        <v>17.399999999999999</v>
      </c>
      <c r="G15" s="78">
        <f t="shared" si="1"/>
        <v>0.26769230769230767</v>
      </c>
    </row>
    <row r="16" spans="1:9" x14ac:dyDescent="0.2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16.05</v>
      </c>
      <c r="F16" s="41">
        <f t="shared" si="0"/>
        <v>16.05</v>
      </c>
      <c r="G16" s="78">
        <f t="shared" si="1"/>
        <v>0.24692307692307694</v>
      </c>
      <c r="H16" s="247"/>
    </row>
    <row r="17" spans="1:8" x14ac:dyDescent="0.2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11.1</v>
      </c>
      <c r="F17" s="41">
        <f t="shared" si="0"/>
        <v>11.1</v>
      </c>
      <c r="G17" s="78">
        <f t="shared" si="1"/>
        <v>0.17076923076923076</v>
      </c>
    </row>
    <row r="18" spans="1:8" x14ac:dyDescent="0.2">
      <c r="A18" s="156" t="s">
        <v>435</v>
      </c>
      <c r="B18" s="43" t="s">
        <v>423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7"/>
    </row>
    <row r="19" spans="1:8" x14ac:dyDescent="0.2">
      <c r="A19" s="156" t="s">
        <v>437</v>
      </c>
      <c r="B19" t="s">
        <v>493</v>
      </c>
      <c r="F19" s="41"/>
      <c r="G19" s="78"/>
    </row>
    <row r="20" spans="1:8" x14ac:dyDescent="0.2">
      <c r="B20" s="107" t="s">
        <v>373</v>
      </c>
      <c r="C20" t="s">
        <v>379</v>
      </c>
      <c r="D20" s="207">
        <f>PreHarvest!O15+PreHarvest!I24</f>
        <v>3.7901021145306411</v>
      </c>
      <c r="E20" s="41">
        <v>2.25</v>
      </c>
      <c r="F20" s="41">
        <f>E20*D20</f>
        <v>8.5277297576939421</v>
      </c>
      <c r="G20" s="78">
        <f>F20/yield</f>
        <v>0.13119584242606064</v>
      </c>
    </row>
    <row r="21" spans="1:8" x14ac:dyDescent="0.2">
      <c r="B21" s="107" t="s">
        <v>374</v>
      </c>
      <c r="C21" t="s">
        <v>378</v>
      </c>
      <c r="D21">
        <v>1</v>
      </c>
      <c r="E21" s="41">
        <f>PreHarvest!$R$15+PreHarvest!$K$24</f>
        <v>10.775950302472943</v>
      </c>
      <c r="F21" s="41">
        <f>E21*D21</f>
        <v>10.775950302472943</v>
      </c>
      <c r="G21" s="78">
        <f>F21/yield</f>
        <v>0.16578385080727603</v>
      </c>
      <c r="H21" s="247"/>
    </row>
    <row r="22" spans="1:8" x14ac:dyDescent="0.2">
      <c r="A22" s="156" t="s">
        <v>436</v>
      </c>
      <c r="B22" t="s">
        <v>375</v>
      </c>
      <c r="F22" s="41"/>
      <c r="G22" s="78"/>
    </row>
    <row r="23" spans="1:8" x14ac:dyDescent="0.2">
      <c r="B23" s="107" t="s">
        <v>373</v>
      </c>
      <c r="C23" t="s">
        <v>379</v>
      </c>
      <c r="D23" s="207">
        <f>Harvest!O11</f>
        <v>2.5316526644257697</v>
      </c>
      <c r="E23" s="41">
        <f>E20</f>
        <v>2.25</v>
      </c>
      <c r="F23" s="41">
        <f t="shared" ref="F23:F29" si="2">E23*D23</f>
        <v>5.6962184949579822</v>
      </c>
      <c r="G23" s="78">
        <f t="shared" ref="G23:G29" si="3">F23/yield</f>
        <v>8.7634130691661261E-2</v>
      </c>
    </row>
    <row r="24" spans="1:8" x14ac:dyDescent="0.2">
      <c r="B24" s="107" t="s">
        <v>374</v>
      </c>
      <c r="C24" t="s">
        <v>378</v>
      </c>
      <c r="D24">
        <v>1</v>
      </c>
      <c r="E24" s="41">
        <f>Harvest!$R$11</f>
        <v>7.6069317577030802</v>
      </c>
      <c r="F24" s="41">
        <f t="shared" si="2"/>
        <v>7.6069317577030802</v>
      </c>
      <c r="G24" s="78">
        <f t="shared" si="3"/>
        <v>0.11702971934927815</v>
      </c>
      <c r="H24" s="247"/>
    </row>
    <row r="25" spans="1:8" x14ac:dyDescent="0.2">
      <c r="B25" t="s">
        <v>380</v>
      </c>
      <c r="C25" t="s">
        <v>385</v>
      </c>
      <c r="D25" s="207">
        <f>1.25*((PreHarvest!G15+PreHarvest!G24)+Harvest!G11)</f>
        <v>0.89873441550765598</v>
      </c>
      <c r="E25" s="41">
        <v>13</v>
      </c>
      <c r="F25" s="41">
        <f t="shared" si="2"/>
        <v>11.683547401599528</v>
      </c>
      <c r="G25" s="78">
        <f t="shared" si="3"/>
        <v>0.1797468831015312</v>
      </c>
    </row>
    <row r="26" spans="1:8" x14ac:dyDescent="0.2">
      <c r="B26" t="s">
        <v>381</v>
      </c>
      <c r="C26" t="s">
        <v>378</v>
      </c>
      <c r="D26">
        <v>1</v>
      </c>
      <c r="E26" s="41">
        <v>17</v>
      </c>
      <c r="F26" s="41">
        <f t="shared" si="2"/>
        <v>17</v>
      </c>
      <c r="G26" s="78">
        <f t="shared" si="3"/>
        <v>0.26153846153846155</v>
      </c>
      <c r="H26" s="247"/>
    </row>
    <row r="27" spans="1:8" x14ac:dyDescent="0.2">
      <c r="B27" t="s">
        <v>382</v>
      </c>
      <c r="C27" t="s">
        <v>378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383</v>
      </c>
      <c r="C28" t="s">
        <v>384</v>
      </c>
      <c r="D28" s="78">
        <f>SUM(F9:F27)*0.5</f>
        <v>101.62018885721375</v>
      </c>
      <c r="E28" s="106">
        <v>0.06</v>
      </c>
      <c r="F28" s="41">
        <f t="shared" si="2"/>
        <v>6.0972113314328249</v>
      </c>
      <c r="G28" s="78">
        <f t="shared" si="3"/>
        <v>9.3803251252812692E-2</v>
      </c>
      <c r="H28" s="247"/>
    </row>
    <row r="29" spans="1:8" s="224" customFormat="1" x14ac:dyDescent="0.2">
      <c r="B29" s="224" t="s">
        <v>507</v>
      </c>
      <c r="C29" s="239" t="str">
        <f t="shared" ref="C29" si="4">$D$6</f>
        <v>bushel</v>
      </c>
      <c r="D29" s="236">
        <f>yield*1.1</f>
        <v>71.5</v>
      </c>
      <c r="E29" s="225">
        <v>0.28000000000000003</v>
      </c>
      <c r="F29" s="225">
        <f t="shared" si="2"/>
        <v>20.020000000000003</v>
      </c>
      <c r="G29" s="226">
        <f t="shared" si="3"/>
        <v>0.30800000000000005</v>
      </c>
    </row>
    <row r="30" spans="1:8" x14ac:dyDescent="0.2">
      <c r="B30" s="259" t="s">
        <v>386</v>
      </c>
      <c r="C30" s="259"/>
      <c r="D30" s="259"/>
      <c r="E30" s="259"/>
      <c r="F30" s="108">
        <f>SUM(F9:F29)</f>
        <v>229.35758904586032</v>
      </c>
      <c r="G30" s="108">
        <f>SUM(G9:G29)</f>
        <v>3.5285782930132354</v>
      </c>
      <c r="H30" s="247"/>
    </row>
    <row r="32" spans="1:8" x14ac:dyDescent="0.2">
      <c r="B32" s="110" t="s">
        <v>391</v>
      </c>
      <c r="C32" s="110"/>
      <c r="D32" s="110"/>
      <c r="E32" s="110"/>
      <c r="F32" s="110"/>
      <c r="G32" s="110"/>
      <c r="H32" s="247"/>
    </row>
    <row r="33" spans="2:8" x14ac:dyDescent="0.2">
      <c r="B33" s="258" t="s">
        <v>392</v>
      </c>
      <c r="C33" s="258"/>
      <c r="D33" s="258"/>
      <c r="E33" s="258"/>
      <c r="F33" s="258"/>
      <c r="G33" s="258"/>
      <c r="H33" s="258"/>
    </row>
    <row r="34" spans="2:8" x14ac:dyDescent="0.2">
      <c r="B34" s="107" t="s">
        <v>506</v>
      </c>
      <c r="C34" t="s">
        <v>378</v>
      </c>
      <c r="D34">
        <v>1</v>
      </c>
      <c r="E34" s="41">
        <f>PreHarvest!$U$15+PreHarvest!$M$24</f>
        <v>29.265798405382533</v>
      </c>
      <c r="F34" s="41">
        <f>E34*D34</f>
        <v>29.265798405382533</v>
      </c>
      <c r="G34" s="41">
        <f t="shared" ref="G34:G39" si="5">F34/yield</f>
        <v>0.4502430523905005</v>
      </c>
    </row>
    <row r="35" spans="2:8" x14ac:dyDescent="0.2">
      <c r="B35" s="107" t="s">
        <v>393</v>
      </c>
      <c r="C35" t="s">
        <v>378</v>
      </c>
      <c r="D35">
        <v>1</v>
      </c>
      <c r="E35" s="41">
        <f>Harvest!$U$11</f>
        <v>38.661603532492997</v>
      </c>
      <c r="F35" s="41">
        <f t="shared" ref="F35:F39" si="6">E35*D35</f>
        <v>38.661603532492997</v>
      </c>
      <c r="G35" s="41">
        <f t="shared" si="5"/>
        <v>0.59479390049989223</v>
      </c>
      <c r="H35" s="247"/>
    </row>
    <row r="36" spans="2:8" x14ac:dyDescent="0.2">
      <c r="B36" t="s">
        <v>394</v>
      </c>
      <c r="C36" t="s">
        <v>395</v>
      </c>
      <c r="D36" s="41">
        <f>tvc</f>
        <v>229.35758904586032</v>
      </c>
      <c r="E36" s="111">
        <v>0.05</v>
      </c>
      <c r="F36" s="41">
        <f t="shared" si="6"/>
        <v>11.467879452293017</v>
      </c>
      <c r="G36" s="41">
        <f t="shared" si="5"/>
        <v>0.17642891465066179</v>
      </c>
    </row>
    <row r="37" spans="2:8" x14ac:dyDescent="0.2">
      <c r="B37" t="s">
        <v>396</v>
      </c>
      <c r="C37" t="s">
        <v>395</v>
      </c>
      <c r="D37" s="41">
        <f>tvc</f>
        <v>229.35758904586032</v>
      </c>
      <c r="E37" s="111">
        <v>0.05</v>
      </c>
      <c r="F37" s="41">
        <f>E37*D37</f>
        <v>11.467879452293017</v>
      </c>
      <c r="G37" s="41">
        <f t="shared" si="5"/>
        <v>0.17642891465066179</v>
      </c>
      <c r="H37" s="247"/>
    </row>
    <row r="38" spans="2:8" x14ac:dyDescent="0.2">
      <c r="B38" s="112" t="s">
        <v>397</v>
      </c>
      <c r="C38" t="s">
        <v>378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398</v>
      </c>
      <c r="C39" s="56" t="s">
        <v>378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7"/>
    </row>
    <row r="40" spans="2:8" x14ac:dyDescent="0.2">
      <c r="B40" s="259" t="s">
        <v>399</v>
      </c>
      <c r="C40" s="259"/>
      <c r="D40" s="259"/>
      <c r="E40" s="259"/>
      <c r="F40" s="108">
        <f>SUM(F34:F39)</f>
        <v>90.863160842461568</v>
      </c>
      <c r="G40" s="108">
        <f>SUM(G34:G39)</f>
        <v>1.3978947821917163</v>
      </c>
      <c r="H40" s="247"/>
    </row>
    <row r="42" spans="2:8" ht="16" thickBot="1" x14ac:dyDescent="0.25">
      <c r="B42" s="114" t="s">
        <v>400</v>
      </c>
      <c r="C42" s="114"/>
      <c r="D42" s="114"/>
      <c r="E42" s="114"/>
      <c r="F42" s="115">
        <f>F30+F40</f>
        <v>320.2207498883219</v>
      </c>
      <c r="G42" s="115">
        <f>G30+G40</f>
        <v>4.9264730752049513</v>
      </c>
      <c r="H42" s="247"/>
    </row>
    <row r="43" spans="2:8" x14ac:dyDescent="0.2">
      <c r="B43" s="116" t="s">
        <v>401</v>
      </c>
      <c r="C43" s="116"/>
      <c r="D43" s="116"/>
      <c r="E43" s="117" t="s">
        <v>402</v>
      </c>
      <c r="F43" s="123"/>
      <c r="G43" s="118" t="str">
        <f>CONCATENATE("/",$D$6)</f>
        <v>/bushel</v>
      </c>
    </row>
    <row r="44" spans="2:8" ht="16" thickBot="1" x14ac:dyDescent="0.25">
      <c r="B44" s="119" t="s">
        <v>403</v>
      </c>
      <c r="C44" s="119"/>
      <c r="D44" s="119"/>
      <c r="E44" s="120" t="s">
        <v>402</v>
      </c>
      <c r="F44" s="121"/>
      <c r="G44" s="122" t="str">
        <f>CONCATENATE("/",$D$6)</f>
        <v>/bushel</v>
      </c>
    </row>
    <row r="45" spans="2:8" x14ac:dyDescent="0.2">
      <c r="B45" s="151"/>
      <c r="C45" s="151"/>
      <c r="D45" s="151"/>
      <c r="E45" s="152"/>
      <c r="F45" s="153"/>
      <c r="G45" s="154"/>
    </row>
    <row r="46" spans="2:8" ht="29" customHeight="1" x14ac:dyDescent="0.2">
      <c r="B46" s="263" t="s">
        <v>523</v>
      </c>
      <c r="C46" s="263"/>
      <c r="D46" s="263"/>
      <c r="E46" s="263"/>
      <c r="F46" s="263"/>
      <c r="G46" s="263"/>
      <c r="H46" s="263"/>
    </row>
    <row r="47" spans="2:8" ht="43.25" customHeight="1" x14ac:dyDescent="0.2">
      <c r="B47" s="263" t="s">
        <v>524</v>
      </c>
      <c r="C47" s="263"/>
      <c r="D47" s="263"/>
      <c r="E47" s="263"/>
      <c r="F47" s="263"/>
      <c r="G47" s="263"/>
      <c r="H47" s="263"/>
    </row>
    <row r="48" spans="2:8" ht="14.5" customHeight="1" x14ac:dyDescent="0.2">
      <c r="B48" s="256" t="s">
        <v>516</v>
      </c>
      <c r="C48" s="256"/>
      <c r="D48" s="256"/>
      <c r="E48" s="256"/>
      <c r="F48" s="256"/>
      <c r="G48" s="256"/>
      <c r="H48" s="256"/>
    </row>
    <row r="49" spans="2:8" x14ac:dyDescent="0.2">
      <c r="B49" s="257"/>
      <c r="C49" s="257"/>
      <c r="D49" s="257"/>
      <c r="E49" s="257"/>
      <c r="F49" s="257"/>
      <c r="G49" s="257"/>
      <c r="H49" s="257"/>
    </row>
    <row r="50" spans="2:8" x14ac:dyDescent="0.2">
      <c r="B50" s="255" t="str">
        <f>CONCATENATE("Sensitivity Analysis of ",B1)</f>
        <v>Sensitivity Analysis of Non-Irrigated Grain Sorghum, Strip Tillage</v>
      </c>
      <c r="C50" s="255"/>
      <c r="D50" s="255"/>
      <c r="E50" s="255"/>
      <c r="F50" s="255"/>
      <c r="G50" s="255"/>
      <c r="H50" s="124"/>
    </row>
    <row r="51" spans="2:8" x14ac:dyDescent="0.2">
      <c r="B51" s="260" t="s">
        <v>404</v>
      </c>
      <c r="C51" s="260"/>
      <c r="D51" s="260"/>
      <c r="E51" s="260"/>
      <c r="F51" s="260"/>
      <c r="G51" s="260"/>
      <c r="H51" s="125"/>
    </row>
    <row r="52" spans="2:8" x14ac:dyDescent="0.2">
      <c r="B52" s="261" t="str">
        <f>CONCATENATE("Varying Prices and Yields ","(",(D6),")")</f>
        <v>Varying Prices and Yields (bushel)</v>
      </c>
      <c r="C52" s="261"/>
      <c r="D52" s="261"/>
      <c r="E52" s="261"/>
      <c r="F52" s="261"/>
      <c r="G52" s="261"/>
      <c r="H52" s="125"/>
    </row>
    <row r="53" spans="2:8" x14ac:dyDescent="0.2">
      <c r="B53" s="265" t="str">
        <f>CONCATENATE("Price \ ",$D$6,"/Acre")</f>
        <v>Price \ bushel/Acre</v>
      </c>
      <c r="C53" s="126" t="s">
        <v>405</v>
      </c>
      <c r="D53" s="126" t="s">
        <v>406</v>
      </c>
      <c r="E53" s="127" t="s">
        <v>407</v>
      </c>
      <c r="F53" s="126" t="s">
        <v>408</v>
      </c>
      <c r="G53" s="126" t="s">
        <v>409</v>
      </c>
      <c r="H53" s="128"/>
    </row>
    <row r="54" spans="2:8" x14ac:dyDescent="0.2">
      <c r="B54" s="266"/>
      <c r="C54" s="129">
        <f>E54*0.75</f>
        <v>48.75</v>
      </c>
      <c r="D54" s="129">
        <f>E54*0.9</f>
        <v>58.5</v>
      </c>
      <c r="E54" s="129">
        <f>yield</f>
        <v>65</v>
      </c>
      <c r="F54" s="129">
        <f>E54*1.1</f>
        <v>71.5</v>
      </c>
      <c r="G54" s="129">
        <f>E54*1.25</f>
        <v>81.25</v>
      </c>
    </row>
    <row r="55" spans="2:8" x14ac:dyDescent="0.2">
      <c r="B55" s="130">
        <v>4.5</v>
      </c>
      <c r="C55" s="131">
        <f t="shared" ref="C55:G59" si="7">$B55*C$54-tvc</f>
        <v>-9.9825890458603226</v>
      </c>
      <c r="D55" s="131">
        <f t="shared" si="7"/>
        <v>33.892410954139677</v>
      </c>
      <c r="E55" s="131">
        <f t="shared" si="7"/>
        <v>63.142410954139677</v>
      </c>
      <c r="F55" s="131">
        <f t="shared" si="7"/>
        <v>92.392410954139677</v>
      </c>
      <c r="G55" s="131">
        <f t="shared" si="7"/>
        <v>136.26741095413968</v>
      </c>
    </row>
    <row r="56" spans="2:8" x14ac:dyDescent="0.2">
      <c r="B56" s="132">
        <f>B55+0.5</f>
        <v>5</v>
      </c>
      <c r="C56" s="133">
        <f t="shared" si="7"/>
        <v>14.392410954139677</v>
      </c>
      <c r="D56" s="133">
        <f t="shared" si="7"/>
        <v>63.142410954139677</v>
      </c>
      <c r="E56" s="133">
        <f t="shared" si="7"/>
        <v>95.642410954139677</v>
      </c>
      <c r="F56" s="133">
        <f t="shared" si="7"/>
        <v>128.14241095413968</v>
      </c>
      <c r="G56" s="133">
        <f t="shared" si="7"/>
        <v>176.89241095413968</v>
      </c>
    </row>
    <row r="57" spans="2:8" x14ac:dyDescent="0.2">
      <c r="B57" s="132">
        <f t="shared" ref="B57:B59" si="8">B56+0.5</f>
        <v>5.5</v>
      </c>
      <c r="C57" s="133">
        <f t="shared" si="7"/>
        <v>38.767410954139677</v>
      </c>
      <c r="D57" s="133">
        <f t="shared" si="7"/>
        <v>92.392410954139677</v>
      </c>
      <c r="E57" s="133">
        <f t="shared" si="7"/>
        <v>128.14241095413968</v>
      </c>
      <c r="F57" s="133">
        <f t="shared" si="7"/>
        <v>163.89241095413968</v>
      </c>
      <c r="G57" s="133">
        <f t="shared" si="7"/>
        <v>217.51741095413968</v>
      </c>
    </row>
    <row r="58" spans="2:8" x14ac:dyDescent="0.2">
      <c r="B58" s="132">
        <f t="shared" si="8"/>
        <v>6</v>
      </c>
      <c r="C58" s="133">
        <f t="shared" si="7"/>
        <v>63.142410954139677</v>
      </c>
      <c r="D58" s="133">
        <f t="shared" si="7"/>
        <v>121.64241095413968</v>
      </c>
      <c r="E58" s="133">
        <f t="shared" si="7"/>
        <v>160.64241095413968</v>
      </c>
      <c r="F58" s="133">
        <f t="shared" si="7"/>
        <v>199.64241095413968</v>
      </c>
      <c r="G58" s="133">
        <f t="shared" si="7"/>
        <v>258.14241095413968</v>
      </c>
    </row>
    <row r="59" spans="2:8" x14ac:dyDescent="0.2">
      <c r="B59" s="134">
        <f t="shared" si="8"/>
        <v>6.5</v>
      </c>
      <c r="C59" s="135">
        <f t="shared" si="7"/>
        <v>87.517410954139677</v>
      </c>
      <c r="D59" s="135">
        <f t="shared" si="7"/>
        <v>150.89241095413968</v>
      </c>
      <c r="E59" s="135">
        <f t="shared" si="7"/>
        <v>193.14241095413968</v>
      </c>
      <c r="F59" s="135">
        <f t="shared" si="7"/>
        <v>235.39241095413968</v>
      </c>
      <c r="G59" s="135">
        <f t="shared" si="7"/>
        <v>298.76741095413968</v>
      </c>
    </row>
    <row r="61" spans="2:8" x14ac:dyDescent="0.2">
      <c r="B61" s="254" t="s">
        <v>410</v>
      </c>
      <c r="C61" s="254"/>
      <c r="D61" s="254"/>
      <c r="E61" s="254"/>
      <c r="F61" s="254"/>
      <c r="G61" s="254"/>
      <c r="H61" s="254"/>
    </row>
    <row r="62" spans="2:8" x14ac:dyDescent="0.2">
      <c r="B62" s="255" t="s">
        <v>411</v>
      </c>
      <c r="C62" s="255"/>
      <c r="D62" s="255"/>
      <c r="E62" s="255"/>
      <c r="F62" s="255"/>
      <c r="G62" s="255"/>
      <c r="H62" s="255"/>
    </row>
    <row r="63" spans="2:8" ht="45" x14ac:dyDescent="0.2">
      <c r="B63" s="136" t="s">
        <v>412</v>
      </c>
      <c r="C63" s="137" t="s">
        <v>413</v>
      </c>
      <c r="D63" s="137" t="s">
        <v>414</v>
      </c>
      <c r="E63" s="137" t="s">
        <v>503</v>
      </c>
      <c r="F63" s="137" t="s">
        <v>415</v>
      </c>
      <c r="G63" s="137" t="s">
        <v>416</v>
      </c>
      <c r="H63" s="137" t="s">
        <v>417</v>
      </c>
    </row>
    <row r="64" spans="2:8" ht="30" x14ac:dyDescent="0.2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0.81154564504373172</v>
      </c>
      <c r="H64" s="227">
        <f>PreHarvest!$U3</f>
        <v>2.3277435131195334</v>
      </c>
    </row>
    <row r="65" spans="2:8" ht="30" x14ac:dyDescent="0.2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9">IF(H65&gt;0,(D65*1/C65*1.25)," ")</f>
        <v>7.6729910714285726E-2</v>
      </c>
      <c r="F65" s="228">
        <f>IF(H65&gt;0, (PreHarvest!$O4)," ")</f>
        <v>0.60032254464285717</v>
      </c>
      <c r="G65" s="229">
        <f>PreHarvest!$R4</f>
        <v>1.7345831561791383</v>
      </c>
      <c r="H65" s="229">
        <f>PreHarvest!$U4</f>
        <v>5.0376703780470518</v>
      </c>
    </row>
    <row r="66" spans="2:8" ht="30" x14ac:dyDescent="0.2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9" si="10">IF(H66&gt;0,(D66*1/C66*1.25)," ")</f>
        <v>3.5256410256410256E-2</v>
      </c>
      <c r="F66" s="228">
        <f>IF(H66&gt;0, (PreHarvest!$O5)," ")</f>
        <v>0.18873179487179487</v>
      </c>
      <c r="G66" s="229">
        <f>PreHarvest!$R5</f>
        <v>0.60250686813186816</v>
      </c>
      <c r="H66" s="229">
        <f>PreHarvest!$U5</f>
        <v>1.4506332600732601</v>
      </c>
    </row>
    <row r="67" spans="2:8" s="224" customFormat="1" ht="30" x14ac:dyDescent="0.2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10"/>
        <v>0.18187830687830686</v>
      </c>
      <c r="F67" s="228">
        <f>IF(H67&gt;0, (PreHarvest!$O6)," ")</f>
        <v>1.4229867724867724</v>
      </c>
      <c r="G67" s="229">
        <f>PreHarvest!$R6</f>
        <v>3.5962018140589569</v>
      </c>
      <c r="H67" s="229">
        <f>PreHarvest!$U6</f>
        <v>10.749937074829933</v>
      </c>
    </row>
    <row r="68" spans="2:8" s="224" customFormat="1" ht="30" x14ac:dyDescent="0.2">
      <c r="B68" s="231" t="str">
        <f>IF(H68&gt;0,(CONCATENATE(PreHarvest!$C7," with ",PreHarvest!$M7))," ")</f>
        <v>Fert Appl (Liquid)  6R-36 with Tractor (120-139 hp) 2WD 130</v>
      </c>
      <c r="C68" s="235">
        <f>IF(H68&gt;0,(1/PreHarvest!$E7)," ")</f>
        <v>9.1636363636363622</v>
      </c>
      <c r="D68" s="140">
        <f>IF(H68&gt;0,(PreHarvest!$F7)," ")</f>
        <v>1</v>
      </c>
      <c r="E68" s="228">
        <f t="shared" si="10"/>
        <v>0.13640873015873017</v>
      </c>
      <c r="F68" s="228">
        <f>IF(H68&gt;0, (PreHarvest!$O7)," ")</f>
        <v>0.73021230158730166</v>
      </c>
      <c r="G68" s="229">
        <f>PreHarvest!$R7</f>
        <v>2.2235922146636433</v>
      </c>
      <c r="H68" s="229">
        <f>PreHarvest!$U7</f>
        <v>5.3479143990929714</v>
      </c>
    </row>
    <row r="69" spans="2:8" s="224" customFormat="1" ht="30" x14ac:dyDescent="0.2">
      <c r="B69" s="231" t="str">
        <f>IF(H69&gt;0,(CONCATENATE(PreHarvest!$C8," with ",PreHarvest!$M8))," ")</f>
        <v>Spray (Broadcast) 60' with Tractor (120-139 hp) 2WD 130</v>
      </c>
      <c r="C69" s="235">
        <f>IF(H69&gt;0,(1/PreHarvest!$E8)," ")</f>
        <v>35.454545454545453</v>
      </c>
      <c r="D69" s="140">
        <f>IF(H69&gt;0,(PreHarvest!$F8)," ")</f>
        <v>3</v>
      </c>
      <c r="E69" s="228">
        <f t="shared" si="10"/>
        <v>0.10576923076923078</v>
      </c>
      <c r="F69" s="228">
        <f>IF(H69&gt;0, (PreHarvest!$O8)," ")</f>
        <v>0.56619538461538466</v>
      </c>
      <c r="G69" s="229">
        <f>PreHarvest!$R8</f>
        <v>1.8075206043956045</v>
      </c>
      <c r="H69" s="229">
        <f>PreHarvest!$U8</f>
        <v>4.3518997802197807</v>
      </c>
    </row>
    <row r="70" spans="2:8" x14ac:dyDescent="0.2">
      <c r="B70" s="158" t="s">
        <v>418</v>
      </c>
      <c r="C70" s="159"/>
      <c r="D70" s="159"/>
      <c r="E70" s="160">
        <f>SUM(E64:E69)</f>
        <v>0.58865738469533113</v>
      </c>
      <c r="F70" s="160">
        <f>SUM(F64:F69)</f>
        <v>3.7901021145306411</v>
      </c>
      <c r="G70" s="161">
        <f>SUM(G64:G69)</f>
        <v>10.775950302472943</v>
      </c>
      <c r="H70" s="161">
        <f>SUM(H64:H69)</f>
        <v>29.265798405382533</v>
      </c>
    </row>
    <row r="72" spans="2:8" x14ac:dyDescent="0.2">
      <c r="B72" s="57" t="s">
        <v>419</v>
      </c>
    </row>
    <row r="73" spans="2:8" ht="45" x14ac:dyDescent="0.2">
      <c r="B73" s="136" t="s">
        <v>412</v>
      </c>
      <c r="C73" s="137" t="s">
        <v>413</v>
      </c>
      <c r="D73" s="137" t="s">
        <v>414</v>
      </c>
      <c r="E73" s="137" t="s">
        <v>503</v>
      </c>
      <c r="F73" s="137" t="s">
        <v>415</v>
      </c>
      <c r="G73" s="137" t="s">
        <v>416</v>
      </c>
      <c r="H73" s="137" t="s">
        <v>417</v>
      </c>
    </row>
    <row r="74" spans="2:8" s="224" customFormat="1" ht="30" x14ac:dyDescent="0.2">
      <c r="B74" s="231" t="str">
        <f>IF(H74&gt;0,(CONCATENATE(Harvest!$C4," with ",Harvest!$M4))," ")</f>
        <v>Header Wheat/Sorghum 18' Rigid with Combine (200-249 hp) 240 hp</v>
      </c>
      <c r="C74" s="205">
        <f>IF(H74&gt;0,(1/Harvest!$E4)," ")</f>
        <v>6.4909090909090921</v>
      </c>
      <c r="D74" s="157">
        <f>IF(H74&gt;0,(Harvest!$F4)," ")</f>
        <v>1</v>
      </c>
      <c r="E74" s="204">
        <f t="shared" ref="E74:E75" si="11">IF(H74&gt;0,(1/C74*D74*1.25)," ")</f>
        <v>0.19257703081232491</v>
      </c>
      <c r="F74" s="204">
        <f>IF(H74&gt;0,(Harvest!$O4)," ")</f>
        <v>1.90266106442577</v>
      </c>
      <c r="G74" s="230">
        <f>Harvest!$R4</f>
        <v>5.8100490196078427</v>
      </c>
      <c r="H74" s="230">
        <f>Harvest!$U4</f>
        <v>33.692676470588232</v>
      </c>
    </row>
    <row r="75" spans="2:8" s="224" customFormat="1" ht="30" x14ac:dyDescent="0.2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1"/>
        <v>0.11749999999999999</v>
      </c>
      <c r="F75" s="204">
        <f>IF(H75&gt;0,(Harvest!$O5)," ")</f>
        <v>0.62899159999999998</v>
      </c>
      <c r="G75" s="230">
        <f>Harvest!$R5</f>
        <v>1.7968827380952379</v>
      </c>
      <c r="H75" s="230">
        <f>Harvest!$U5</f>
        <v>4.9689270619047621</v>
      </c>
    </row>
    <row r="76" spans="2:8" ht="14.5" customHeight="1" x14ac:dyDescent="0.2">
      <c r="B76" s="158" t="s">
        <v>420</v>
      </c>
      <c r="C76" s="159"/>
      <c r="D76" s="159"/>
      <c r="E76" s="160">
        <f>SUM(E74:E75)</f>
        <v>0.31007703081232491</v>
      </c>
      <c r="F76" s="160">
        <f>SUM(F74:F75)</f>
        <v>2.5316526644257697</v>
      </c>
      <c r="G76" s="161">
        <f>SUM(G74:G75)</f>
        <v>7.6069317577030802</v>
      </c>
      <c r="H76" s="161">
        <f>SUM(H74:H75)</f>
        <v>38.661603532492997</v>
      </c>
    </row>
    <row r="77" spans="2:8" s="208" customFormat="1" x14ac:dyDescent="0.2">
      <c r="B77" s="209"/>
      <c r="C77" s="210"/>
      <c r="D77" s="210"/>
      <c r="E77" s="211"/>
      <c r="F77" s="211"/>
      <c r="G77" s="212"/>
      <c r="H77" s="212"/>
    </row>
    <row r="78" spans="2:8" ht="29" customHeight="1" x14ac:dyDescent="0.2">
      <c r="B78" s="262" t="s">
        <v>504</v>
      </c>
      <c r="C78" s="262"/>
      <c r="D78" s="262"/>
      <c r="E78" s="262"/>
      <c r="F78" s="262"/>
      <c r="G78" s="262"/>
      <c r="H78" s="262"/>
    </row>
    <row r="79" spans="2:8" ht="43.25" customHeight="1" x14ac:dyDescent="0.2">
      <c r="B79" s="213"/>
      <c r="C79" s="213"/>
      <c r="D79" s="213"/>
      <c r="E79" s="213"/>
      <c r="F79" s="213"/>
      <c r="G79" s="213"/>
      <c r="H79" s="213"/>
    </row>
    <row r="80" spans="2:8" ht="14.5" customHeight="1" x14ac:dyDescent="0.2">
      <c r="B80" s="256" t="s">
        <v>516</v>
      </c>
      <c r="C80" s="256"/>
      <c r="D80" s="256"/>
      <c r="E80" s="256"/>
      <c r="F80" s="256"/>
      <c r="G80" s="256"/>
      <c r="H80" s="256"/>
    </row>
    <row r="81" spans="2:8" x14ac:dyDescent="0.2">
      <c r="B81" s="257"/>
      <c r="C81" s="257"/>
      <c r="D81" s="257"/>
      <c r="E81" s="257"/>
      <c r="F81" s="257"/>
      <c r="G81" s="257"/>
      <c r="H81" s="257"/>
    </row>
    <row r="82" spans="2:8" x14ac:dyDescent="0.2">
      <c r="B82" s="150"/>
      <c r="C82" s="150"/>
      <c r="D82" s="150"/>
      <c r="E82" s="150"/>
      <c r="F82" s="150"/>
      <c r="G82" s="150"/>
      <c r="H82" s="150"/>
    </row>
  </sheetData>
  <mergeCells count="17">
    <mergeCell ref="B1:H1"/>
    <mergeCell ref="B4:H4"/>
    <mergeCell ref="B30:E30"/>
    <mergeCell ref="B2:H2"/>
    <mergeCell ref="B53:B54"/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11/2017&amp;R&amp;G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2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67" t="s">
        <v>351</v>
      </c>
      <c r="B1" s="267"/>
      <c r="C1" s="267"/>
      <c r="D1" s="267"/>
      <c r="E1" s="267"/>
      <c r="F1" s="267"/>
    </row>
    <row r="2" spans="1:8" x14ac:dyDescent="0.2">
      <c r="A2" s="285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86" t="s">
        <v>352</v>
      </c>
      <c r="B3" s="99" t="s">
        <v>485</v>
      </c>
      <c r="C3" s="99">
        <v>80</v>
      </c>
      <c r="D3" s="100">
        <v>0.44</v>
      </c>
      <c r="E3" s="101">
        <f>D3*C3</f>
        <v>35.200000000000003</v>
      </c>
      <c r="F3" s="102">
        <f t="shared" ref="F3:F9" si="0">E3/yield</f>
        <v>0.54153846153846164</v>
      </c>
    </row>
    <row r="4" spans="1:8" x14ac:dyDescent="0.2">
      <c r="A4" s="287" t="s">
        <v>353</v>
      </c>
      <c r="B4" s="103" t="s">
        <v>485</v>
      </c>
      <c r="C4" s="103">
        <v>40</v>
      </c>
      <c r="D4" s="101">
        <v>0.38</v>
      </c>
      <c r="E4" s="101">
        <f t="shared" ref="E4:E9" si="1">D4*C4</f>
        <v>15.2</v>
      </c>
      <c r="F4" s="102">
        <f t="shared" si="0"/>
        <v>0.23384615384615384</v>
      </c>
    </row>
    <row r="5" spans="1:8" x14ac:dyDescent="0.2">
      <c r="A5" s="287" t="s">
        <v>354</v>
      </c>
      <c r="B5" s="103" t="s">
        <v>485</v>
      </c>
      <c r="C5" s="103">
        <v>60</v>
      </c>
      <c r="D5" s="101">
        <v>0.28999999999999998</v>
      </c>
      <c r="E5" s="101">
        <f t="shared" si="1"/>
        <v>17.399999999999999</v>
      </c>
      <c r="F5" s="102">
        <f t="shared" si="0"/>
        <v>0.26769230769230767</v>
      </c>
    </row>
    <row r="6" spans="1:8" x14ac:dyDescent="0.2">
      <c r="A6" s="287" t="s">
        <v>355</v>
      </c>
      <c r="B6" s="103" t="s">
        <v>377</v>
      </c>
      <c r="C6" s="103">
        <v>0.25</v>
      </c>
      <c r="D6" s="101">
        <v>43</v>
      </c>
      <c r="E6" s="101">
        <f t="shared" si="1"/>
        <v>10.75</v>
      </c>
      <c r="F6" s="102">
        <f t="shared" si="0"/>
        <v>0.16538461538461538</v>
      </c>
    </row>
    <row r="7" spans="1:8" x14ac:dyDescent="0.2">
      <c r="A7" s="287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287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288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362</v>
      </c>
      <c r="B10" s="267"/>
      <c r="C10" s="267"/>
      <c r="D10" s="267"/>
      <c r="E10" s="79">
        <f>SUM(E3:E9)</f>
        <v>78.550000000000011</v>
      </c>
      <c r="F10" s="79">
        <f>SUM(F3:F9)</f>
        <v>1.2084615384615385</v>
      </c>
      <c r="H10" s="156" t="s">
        <v>438</v>
      </c>
    </row>
    <row r="12" spans="1:8" x14ac:dyDescent="0.2">
      <c r="A12" s="268" t="s">
        <v>387</v>
      </c>
      <c r="B12" s="268"/>
      <c r="C12" s="268"/>
      <c r="D12" s="268"/>
      <c r="E12" s="268"/>
      <c r="F12" s="268"/>
    </row>
    <row r="13" spans="1:8" x14ac:dyDescent="0.2">
      <c r="A13" s="289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90" t="s">
        <v>486</v>
      </c>
      <c r="B14" s="91" t="s">
        <v>489</v>
      </c>
      <c r="C14" s="91">
        <v>1</v>
      </c>
      <c r="D14" s="92">
        <v>7.85</v>
      </c>
      <c r="E14" s="93">
        <f>D14*C14</f>
        <v>7.85</v>
      </c>
      <c r="F14" s="94">
        <f t="shared" ref="F14:F20" si="2">E14/yield</f>
        <v>0.12076923076923077</v>
      </c>
    </row>
    <row r="15" spans="1:8" x14ac:dyDescent="0.2">
      <c r="A15" s="290" t="s">
        <v>487</v>
      </c>
      <c r="B15" s="95" t="s">
        <v>490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9.8461538461538461E-2</v>
      </c>
    </row>
    <row r="16" spans="1:8" x14ac:dyDescent="0.2">
      <c r="A16" s="290" t="s">
        <v>488</v>
      </c>
      <c r="B16" s="95" t="s">
        <v>491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">
      <c r="A17" s="290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90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90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91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388</v>
      </c>
      <c r="B21" s="268"/>
      <c r="C21" s="268"/>
      <c r="D21" s="268"/>
      <c r="E21" s="80">
        <f>SUM(E14:E20)</f>
        <v>16.05</v>
      </c>
      <c r="F21" s="80">
        <f>SUM(F14:F20)</f>
        <v>0.24692307692307691</v>
      </c>
      <c r="H21" s="156" t="s">
        <v>438</v>
      </c>
    </row>
    <row r="23" spans="1:8" x14ac:dyDescent="0.2">
      <c r="A23" s="270" t="s">
        <v>389</v>
      </c>
      <c r="B23" s="270"/>
      <c r="C23" s="270"/>
      <c r="D23" s="270"/>
      <c r="E23" s="270"/>
      <c r="F23" s="270"/>
    </row>
    <row r="24" spans="1:8" x14ac:dyDescent="0.2">
      <c r="A24" s="292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4" customFormat="1" x14ac:dyDescent="0.2">
      <c r="A25" s="293" t="s">
        <v>521</v>
      </c>
      <c r="B25" s="83" t="s">
        <v>515</v>
      </c>
      <c r="C25" s="83">
        <v>4</v>
      </c>
      <c r="D25" s="84">
        <v>2.25</v>
      </c>
      <c r="E25" s="85">
        <f>D25*C25</f>
        <v>9</v>
      </c>
      <c r="F25" s="86">
        <f t="shared" ref="F25" si="4">E25/yield</f>
        <v>0.13846153846153847</v>
      </c>
    </row>
    <row r="26" spans="1:8" s="224" customFormat="1" x14ac:dyDescent="0.2">
      <c r="A26" s="294" t="s">
        <v>522</v>
      </c>
      <c r="B26" s="87" t="s">
        <v>515</v>
      </c>
      <c r="C26" s="87">
        <v>3</v>
      </c>
      <c r="D26" s="85">
        <v>0.7</v>
      </c>
      <c r="E26" s="85">
        <f t="shared" ref="E26" si="5">D26*C26</f>
        <v>2.0999999999999996</v>
      </c>
      <c r="F26" s="86">
        <f t="shared" ref="F26" si="6">E26/yield</f>
        <v>3.2307692307692301E-2</v>
      </c>
    </row>
    <row r="27" spans="1:8" x14ac:dyDescent="0.2">
      <c r="A27" s="294" t="s">
        <v>356</v>
      </c>
      <c r="B27" s="87"/>
      <c r="C27" s="87"/>
      <c r="D27" s="85"/>
      <c r="E27" s="85">
        <f t="shared" ref="E26:E31" si="7">D27*C27</f>
        <v>0</v>
      </c>
      <c r="F27" s="86">
        <f t="shared" ref="F25:F31" si="8">E27/yield</f>
        <v>0</v>
      </c>
    </row>
    <row r="28" spans="1:8" x14ac:dyDescent="0.2">
      <c r="A28" s="294" t="s">
        <v>356</v>
      </c>
      <c r="B28" s="87"/>
      <c r="C28" s="87"/>
      <c r="D28" s="85"/>
      <c r="E28" s="85">
        <f t="shared" si="7"/>
        <v>0</v>
      </c>
      <c r="F28" s="86">
        <f t="shared" si="8"/>
        <v>0</v>
      </c>
    </row>
    <row r="29" spans="1:8" x14ac:dyDescent="0.2">
      <c r="A29" s="294" t="s">
        <v>356</v>
      </c>
      <c r="B29" s="87"/>
      <c r="C29" s="87"/>
      <c r="D29" s="85"/>
      <c r="E29" s="85">
        <f t="shared" si="7"/>
        <v>0</v>
      </c>
      <c r="F29" s="86">
        <f t="shared" si="8"/>
        <v>0</v>
      </c>
    </row>
    <row r="30" spans="1:8" x14ac:dyDescent="0.2">
      <c r="A30" s="294" t="s">
        <v>356</v>
      </c>
      <c r="B30" s="87"/>
      <c r="C30" s="87"/>
      <c r="D30" s="85"/>
      <c r="E30" s="85">
        <f t="shared" si="7"/>
        <v>0</v>
      </c>
      <c r="F30" s="86">
        <f t="shared" si="8"/>
        <v>0</v>
      </c>
    </row>
    <row r="31" spans="1:8" x14ac:dyDescent="0.2">
      <c r="A31" s="295" t="s">
        <v>356</v>
      </c>
      <c r="B31" s="88"/>
      <c r="C31" s="88"/>
      <c r="D31" s="89"/>
      <c r="E31" s="85">
        <f t="shared" si="7"/>
        <v>0</v>
      </c>
      <c r="F31" s="86">
        <f t="shared" si="8"/>
        <v>0</v>
      </c>
    </row>
    <row r="32" spans="1:8" x14ac:dyDescent="0.2">
      <c r="A32" s="270" t="s">
        <v>390</v>
      </c>
      <c r="B32" s="270"/>
      <c r="C32" s="270"/>
      <c r="D32" s="270"/>
      <c r="E32" s="81">
        <f>SUM(E25:E31)</f>
        <v>11.1</v>
      </c>
      <c r="F32" s="81">
        <f>SUM(F25:F31)</f>
        <v>0.17076923076923078</v>
      </c>
      <c r="H32" s="156" t="s">
        <v>438</v>
      </c>
    </row>
    <row r="34" spans="1:8" x14ac:dyDescent="0.2">
      <c r="A34" s="269" t="s">
        <v>421</v>
      </c>
      <c r="B34" s="269"/>
      <c r="C34" s="269"/>
      <c r="D34" s="269"/>
      <c r="E34" s="269"/>
      <c r="F34" s="269"/>
    </row>
    <row r="35" spans="1:8" x14ac:dyDescent="0.2">
      <c r="A35" s="296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 x14ac:dyDescent="0.2">
      <c r="A36" s="297" t="s">
        <v>356</v>
      </c>
      <c r="B36" s="143"/>
      <c r="C36" s="143"/>
      <c r="D36" s="144"/>
      <c r="E36" s="145">
        <f>D36*C36</f>
        <v>0</v>
      </c>
      <c r="F36" s="146">
        <f t="shared" ref="F36:F45" si="9">E36/yield</f>
        <v>0</v>
      </c>
    </row>
    <row r="37" spans="1:8" x14ac:dyDescent="0.2">
      <c r="A37" s="298" t="s">
        <v>356</v>
      </c>
      <c r="B37" s="147"/>
      <c r="C37" s="147"/>
      <c r="D37" s="145"/>
      <c r="E37" s="145">
        <f t="shared" ref="E37:E45" si="10">D37*C37</f>
        <v>0</v>
      </c>
      <c r="F37" s="146">
        <f t="shared" si="9"/>
        <v>0</v>
      </c>
    </row>
    <row r="38" spans="1:8" x14ac:dyDescent="0.2">
      <c r="A38" s="298" t="s">
        <v>356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 x14ac:dyDescent="0.2">
      <c r="A39" s="298" t="s">
        <v>356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 x14ac:dyDescent="0.2">
      <c r="A40" s="298" t="s">
        <v>356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 x14ac:dyDescent="0.2">
      <c r="A41" s="298" t="s">
        <v>356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298" t="s">
        <v>356</v>
      </c>
      <c r="B42" s="147"/>
      <c r="C42" s="147"/>
      <c r="D42" s="145"/>
      <c r="E42" s="145">
        <f t="shared" si="10"/>
        <v>0</v>
      </c>
      <c r="F42" s="146">
        <f t="shared" si="9"/>
        <v>0</v>
      </c>
    </row>
    <row r="43" spans="1:8" x14ac:dyDescent="0.2">
      <c r="A43" s="298" t="s">
        <v>356</v>
      </c>
      <c r="B43" s="147"/>
      <c r="C43" s="147"/>
      <c r="D43" s="145"/>
      <c r="E43" s="145">
        <f t="shared" si="10"/>
        <v>0</v>
      </c>
      <c r="F43" s="146">
        <f t="shared" si="9"/>
        <v>0</v>
      </c>
    </row>
    <row r="44" spans="1:8" x14ac:dyDescent="0.2">
      <c r="A44" s="298" t="s">
        <v>356</v>
      </c>
      <c r="B44" s="147"/>
      <c r="C44" s="147"/>
      <c r="D44" s="145"/>
      <c r="E44" s="145">
        <f t="shared" si="10"/>
        <v>0</v>
      </c>
      <c r="F44" s="146">
        <f t="shared" si="9"/>
        <v>0</v>
      </c>
    </row>
    <row r="45" spans="1:8" x14ac:dyDescent="0.2">
      <c r="A45" s="299" t="s">
        <v>356</v>
      </c>
      <c r="B45" s="148"/>
      <c r="C45" s="148"/>
      <c r="D45" s="149"/>
      <c r="E45" s="145">
        <f t="shared" si="10"/>
        <v>0</v>
      </c>
      <c r="F45" s="146">
        <f t="shared" si="9"/>
        <v>0</v>
      </c>
    </row>
    <row r="46" spans="1:8" x14ac:dyDescent="0.2">
      <c r="A46" s="269" t="s">
        <v>422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5" t="s">
        <v>182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46" customFormat="1" ht="28" x14ac:dyDescent="0.2">
      <c r="A2" s="272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73"/>
      <c r="B3" s="177" t="s">
        <v>510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4" t="s">
        <v>497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73"/>
      <c r="B4" s="177" t="s">
        <v>505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4" t="s">
        <v>496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73"/>
      <c r="B5" s="177" t="s">
        <v>495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4" t="s">
        <v>497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73"/>
      <c r="B6" s="177" t="s">
        <v>511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496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73"/>
      <c r="B7" s="177" t="s">
        <v>494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4" t="s">
        <v>497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73"/>
      <c r="B8" s="177" t="s">
        <v>495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8.71875</v>
      </c>
      <c r="I8" s="59">
        <f t="shared" si="10"/>
        <v>0.7377403846153846</v>
      </c>
      <c r="J8" s="59">
        <f t="shared" si="4"/>
        <v>14.396400000000002</v>
      </c>
      <c r="K8" s="60">
        <f t="shared" si="11"/>
        <v>1.2181569230769234</v>
      </c>
      <c r="L8" s="174" t="s">
        <v>497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12.642857142857142</v>
      </c>
      <c r="Q8" s="59">
        <f t="shared" si="13"/>
        <v>1.0697802197802198</v>
      </c>
      <c r="R8" s="59">
        <f t="shared" si="14"/>
        <v>1.8075206043956045</v>
      </c>
      <c r="S8" s="59">
        <f t="shared" si="8"/>
        <v>37.035142857142858</v>
      </c>
      <c r="T8" s="59">
        <f t="shared" si="15"/>
        <v>3.1337428571428574</v>
      </c>
      <c r="U8" s="59">
        <f t="shared" si="16"/>
        <v>4.3518997802197807</v>
      </c>
    </row>
    <row r="9" spans="1:21" x14ac:dyDescent="0.2">
      <c r="A9" s="273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3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3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3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3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3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10.775950302472943</v>
      </c>
      <c r="S15" s="61"/>
      <c r="T15" s="63"/>
      <c r="U15" s="63">
        <f>SUM(U3:U14)</f>
        <v>29.265798405382533</v>
      </c>
    </row>
    <row r="16" spans="1:21" x14ac:dyDescent="0.2">
      <c r="B16" s="156" t="s">
        <v>438</v>
      </c>
      <c r="C16" s="156"/>
    </row>
    <row r="17" spans="1:14" x14ac:dyDescent="0.2">
      <c r="A17" s="51"/>
      <c r="B17" s="255" t="s">
        <v>175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124"/>
    </row>
    <row r="18" spans="1:14" s="48" customFormat="1" ht="42" x14ac:dyDescent="0.2">
      <c r="A18" s="271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 x14ac:dyDescent="0.2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71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71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71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71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5" t="s">
        <v>193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54" customFormat="1" ht="42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5" t="s">
        <v>204</v>
      </c>
      <c r="B4" s="174" t="s">
        <v>502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4.9000000000000004</v>
      </c>
      <c r="I4" s="59">
        <f t="shared" ref="I4:I10" si="6">H4*G4</f>
        <v>0.75490196078431371</v>
      </c>
      <c r="J4" s="59">
        <f t="shared" si="4"/>
        <v>10.113600000000002</v>
      </c>
      <c r="K4" s="59">
        <f t="shared" ref="K4:K10" si="7">J4*G4</f>
        <v>1.5581176470588236</v>
      </c>
      <c r="L4" s="177" t="s">
        <v>499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5.8100490196078427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33.692676470588232</v>
      </c>
    </row>
    <row r="5" spans="1:21" x14ac:dyDescent="0.2">
      <c r="A5" s="275"/>
      <c r="B5" s="174" t="s">
        <v>498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7" t="s">
        <v>497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7.6069317577030802</v>
      </c>
      <c r="S11" s="72"/>
      <c r="T11" s="75"/>
      <c r="U11" s="75">
        <f>SUM(U3:U10)</f>
        <v>38.661603532492997</v>
      </c>
    </row>
    <row r="12" spans="1:21" x14ac:dyDescent="0.2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40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8" t="s">
        <v>451</v>
      </c>
      <c r="B1" s="279"/>
      <c r="C1" s="280" t="s">
        <v>127</v>
      </c>
      <c r="D1" s="281"/>
      <c r="E1" s="281"/>
      <c r="F1" s="218">
        <v>0.09</v>
      </c>
    </row>
    <row r="2" spans="1:35" ht="16" thickBot="1" x14ac:dyDescent="0.25">
      <c r="C2" s="282" t="s">
        <v>126</v>
      </c>
      <c r="D2" s="283"/>
      <c r="E2" s="283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76" t="s">
        <v>125</v>
      </c>
      <c r="S3" s="276"/>
      <c r="T3" s="276"/>
      <c r="U3" s="276"/>
      <c r="V3" s="276"/>
      <c r="W3" s="276"/>
      <c r="X3" s="277" t="s">
        <v>124</v>
      </c>
      <c r="Y3" s="277"/>
    </row>
    <row r="4" spans="1:35" s="15" customFormat="1" ht="11" x14ac:dyDescent="0.15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27400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49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4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4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4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4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4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4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4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4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4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4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4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4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4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4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5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4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4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4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4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4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4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5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5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45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50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45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45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45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45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45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5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5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5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5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5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5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5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5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5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5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5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5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5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5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5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5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5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5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5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5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5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5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5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5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5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5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49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49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49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49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49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49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49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49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49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4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5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5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5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5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5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5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5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5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1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5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5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5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5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5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5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5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5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5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5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5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5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4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4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4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5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5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5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5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5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5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5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5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5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5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5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5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5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5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5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5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5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5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5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5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5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5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4"/>
    </row>
    <row r="385" spans="1:32" x14ac:dyDescent="0.2">
      <c r="D385" s="164"/>
    </row>
    <row r="386" spans="1:32" x14ac:dyDescent="0.2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4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4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4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4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4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4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4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4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4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4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4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4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4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4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4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4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4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4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4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4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4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4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249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249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249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249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249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249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501</v>
      </c>
      <c r="G423" s="164" t="str">
        <f t="shared" si="107"/>
        <v>Header -Soybean 18' Flex</v>
      </c>
      <c r="H423" s="249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5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518</v>
      </c>
      <c r="G424" s="164" t="str">
        <f t="shared" si="107"/>
        <v>Header -Soybean 24' Flex</v>
      </c>
      <c r="H424" s="249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249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5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519</v>
      </c>
      <c r="G426" s="164" t="str">
        <f t="shared" si="107"/>
        <v>Header -Soybean 36' Flex</v>
      </c>
      <c r="H426" s="249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500</v>
      </c>
      <c r="G427" s="164" t="str">
        <f t="shared" si="107"/>
        <v>Header Wheat/Sorghum 18' Rigid</v>
      </c>
      <c r="H427" s="249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5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520</v>
      </c>
      <c r="G428" s="164" t="str">
        <f t="shared" si="107"/>
        <v>Header Wheat/Sorghum 24' Rigid</v>
      </c>
      <c r="H428" s="249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249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12900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14900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29000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29000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42100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47500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6300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5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5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5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5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5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5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5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4"/>
    </row>
    <row r="472" spans="1:32" x14ac:dyDescent="0.2">
      <c r="D472" s="164"/>
    </row>
    <row r="473" spans="1:32" x14ac:dyDescent="0.2">
      <c r="D473" s="164"/>
    </row>
    <row r="474" spans="1:32" x14ac:dyDescent="0.2">
      <c r="D474" s="164"/>
    </row>
    <row r="475" spans="1:32" x14ac:dyDescent="0.2">
      <c r="D475" s="164"/>
    </row>
    <row r="476" spans="1:32" x14ac:dyDescent="0.2">
      <c r="D476" s="164"/>
    </row>
    <row r="477" spans="1:32" x14ac:dyDescent="0.2">
      <c r="D477" s="164"/>
    </row>
    <row r="478" spans="1:32" x14ac:dyDescent="0.2">
      <c r="D478" s="164"/>
    </row>
    <row r="479" spans="1:32" x14ac:dyDescent="0.2">
      <c r="D479" s="164"/>
    </row>
    <row r="480" spans="1:32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0" bestFit="1" customWidth="1"/>
    <col min="29" max="29" width="5" style="240" bestFit="1" customWidth="1"/>
    <col min="30" max="30" width="4.5" style="240" bestFit="1" customWidth="1"/>
    <col min="31" max="31" width="5.5" style="240" bestFit="1" customWidth="1"/>
    <col min="32" max="16384" width="8.83203125" style="1"/>
  </cols>
  <sheetData>
    <row r="1" spans="1:31" x14ac:dyDescent="0.2">
      <c r="A1" s="278" t="s">
        <v>450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160</v>
      </c>
      <c r="P2" s="284"/>
      <c r="Q2" s="277" t="s">
        <v>124</v>
      </c>
      <c r="R2" s="277"/>
    </row>
    <row r="3" spans="1:31" s="15" customFormat="1" ht="10.25" customHeight="1" x14ac:dyDescent="0.15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1" t="s">
        <v>453</v>
      </c>
      <c r="AA3" s="241" t="s">
        <v>452</v>
      </c>
      <c r="AB3" s="242" t="s">
        <v>454</v>
      </c>
      <c r="AC3" s="241" t="s">
        <v>455</v>
      </c>
      <c r="AD3" s="241" t="s">
        <v>456</v>
      </c>
      <c r="AE3" s="241" t="s">
        <v>457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3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3">
        <f t="shared" ref="Z5:Z11" si="3">((1.132-0.165*(L5^0.5)-0.0079*(M5^0.5))^2)*H5</f>
        <v>65030.240821115105</v>
      </c>
      <c r="AA5" s="243">
        <f t="shared" ref="AA5:AA43" si="4">(H5-Z5)/L5</f>
        <v>21497.479931573744</v>
      </c>
      <c r="AB5" s="243">
        <f t="shared" si="0"/>
        <v>34922.721673900356</v>
      </c>
      <c r="AC5" s="243">
        <f t="shared" si="1"/>
        <v>9312.7257797067632</v>
      </c>
      <c r="AD5" s="243">
        <f t="shared" ref="AD5:AD43" si="5">(AA5+AB5+AC5)/M5</f>
        <v>328.66463692590429</v>
      </c>
      <c r="AE5" s="244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53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3">
        <f t="shared" si="3"/>
        <v>60288.319193962016</v>
      </c>
      <c r="AA6" s="243">
        <f t="shared" si="4"/>
        <v>22975.973400503164</v>
      </c>
      <c r="AB6" s="243">
        <f t="shared" si="0"/>
        <v>35665.948727456584</v>
      </c>
      <c r="AC6" s="243">
        <f t="shared" si="1"/>
        <v>9510.9196606550886</v>
      </c>
      <c r="AD6" s="243">
        <f t="shared" si="5"/>
        <v>227.1761392953828</v>
      </c>
      <c r="AE6" s="244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53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3">
        <f t="shared" si="3"/>
        <v>61006.037279604418</v>
      </c>
      <c r="AA7" s="243">
        <f t="shared" si="4"/>
        <v>23249.4968933663</v>
      </c>
      <c r="AB7" s="243">
        <f t="shared" si="0"/>
        <v>36090.543355164395</v>
      </c>
      <c r="AC7" s="243">
        <f t="shared" si="1"/>
        <v>9624.1448947105055</v>
      </c>
      <c r="AD7" s="243">
        <f t="shared" si="5"/>
        <v>229.88061714413735</v>
      </c>
      <c r="AE7" s="244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53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43">
        <f t="shared" si="3"/>
        <v>73386.674256935905</v>
      </c>
      <c r="AA8" s="243">
        <f t="shared" si="4"/>
        <v>27967.777145255342</v>
      </c>
      <c r="AB8" s="243">
        <f t="shared" si="0"/>
        <v>43414.800683124231</v>
      </c>
      <c r="AC8" s="243">
        <f t="shared" si="1"/>
        <v>11577.280182166462</v>
      </c>
      <c r="AD8" s="243">
        <f t="shared" si="5"/>
        <v>276.53286003515348</v>
      </c>
      <c r="AE8" s="244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53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43">
        <f t="shared" si="3"/>
        <v>75898.687556684323</v>
      </c>
      <c r="AA9" s="243">
        <f t="shared" si="4"/>
        <v>28925.109370276306</v>
      </c>
      <c r="AB9" s="243">
        <f t="shared" si="0"/>
        <v>44900.881880101588</v>
      </c>
      <c r="AC9" s="243">
        <f t="shared" si="1"/>
        <v>11973.568501360423</v>
      </c>
      <c r="AD9" s="243">
        <f t="shared" si="5"/>
        <v>285.9985325057944</v>
      </c>
      <c r="AE9" s="244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3">
        <f t="shared" si="3"/>
        <v>55162.472826241945</v>
      </c>
      <c r="AA10" s="243">
        <f t="shared" si="4"/>
        <v>15604.690896719756</v>
      </c>
      <c r="AB10" s="243">
        <f t="shared" si="0"/>
        <v>21164.622554361777</v>
      </c>
      <c r="AC10" s="243">
        <f t="shared" si="1"/>
        <v>5643.8993478298071</v>
      </c>
      <c r="AD10" s="243">
        <f t="shared" si="5"/>
        <v>212.06606399455669</v>
      </c>
      <c r="AE10" s="244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49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43">
        <f t="shared" si="3"/>
        <v>2938.8067380501284</v>
      </c>
      <c r="AA11" s="243">
        <f t="shared" si="4"/>
        <v>1825.7995187107051</v>
      </c>
      <c r="AB11" s="243">
        <f t="shared" si="0"/>
        <v>2829.4926064245115</v>
      </c>
      <c r="AC11" s="243">
        <f t="shared" si="1"/>
        <v>754.53136171320307</v>
      </c>
      <c r="AD11" s="243">
        <f t="shared" si="5"/>
        <v>9.0163724780806991</v>
      </c>
      <c r="AE11" s="244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49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43">
        <f>((0.981-0.093*(L12^0.5)-0.0058*(M12^0.5))^2)*H12</f>
        <v>5134.0936739867466</v>
      </c>
      <c r="AA12" s="243">
        <f t="shared" si="4"/>
        <v>1154.7075947152323</v>
      </c>
      <c r="AB12" s="243">
        <f t="shared" si="0"/>
        <v>2379.0684306588073</v>
      </c>
      <c r="AC12" s="243">
        <f t="shared" si="1"/>
        <v>634.41824817568192</v>
      </c>
      <c r="AD12" s="243">
        <f t="shared" si="5"/>
        <v>6.9469904559162021</v>
      </c>
      <c r="AE12" s="244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49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43">
        <f t="shared" ref="Z13:Z20" si="18">((0.981-0.093*(L13^0.5)-0.0058*(M13^0.5))^2)*H13</f>
        <v>7761.3998264025004</v>
      </c>
      <c r="AA13" s="243">
        <f t="shared" si="4"/>
        <v>1745.6142981141072</v>
      </c>
      <c r="AB13" s="243">
        <f t="shared" si="0"/>
        <v>3596.5259843762246</v>
      </c>
      <c r="AC13" s="243">
        <f t="shared" si="1"/>
        <v>959.07359583365997</v>
      </c>
      <c r="AD13" s="243">
        <f t="shared" si="5"/>
        <v>10.502023130539985</v>
      </c>
      <c r="AE13" s="244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49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43">
        <f t="shared" si="18"/>
        <v>9424.556932060179</v>
      </c>
      <c r="AA14" s="243">
        <f t="shared" si="4"/>
        <v>2119.6745048528442</v>
      </c>
      <c r="AB14" s="243">
        <f t="shared" si="0"/>
        <v>4367.2101238854157</v>
      </c>
      <c r="AC14" s="243">
        <f t="shared" si="1"/>
        <v>1164.5893663694444</v>
      </c>
      <c r="AD14" s="243">
        <f t="shared" si="5"/>
        <v>12.752456658512841</v>
      </c>
      <c r="AE14" s="244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49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43">
        <f t="shared" si="18"/>
        <v>5037.67876931094</v>
      </c>
      <c r="AA15" s="243">
        <f t="shared" si="4"/>
        <v>1133.0229450492186</v>
      </c>
      <c r="AB15" s="243">
        <f t="shared" si="0"/>
        <v>2334.3910892379845</v>
      </c>
      <c r="AC15" s="243">
        <f t="shared" si="1"/>
        <v>622.50429046346255</v>
      </c>
      <c r="AD15" s="243">
        <f t="shared" si="5"/>
        <v>6.8165305412511099</v>
      </c>
      <c r="AE15" s="244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49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43">
        <f t="shared" si="18"/>
        <v>5857.2054590553025</v>
      </c>
      <c r="AA16" s="243">
        <f t="shared" si="4"/>
        <v>1317.3424672103356</v>
      </c>
      <c r="AB16" s="243">
        <f t="shared" si="0"/>
        <v>2714.148491314977</v>
      </c>
      <c r="AC16" s="243">
        <f t="shared" si="1"/>
        <v>723.77293101732721</v>
      </c>
      <c r="AD16" s="243">
        <f t="shared" si="5"/>
        <v>7.9254398159043999</v>
      </c>
      <c r="AE16" s="244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49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43">
        <f t="shared" si="18"/>
        <v>11642.099739603751</v>
      </c>
      <c r="AA17" s="243">
        <f t="shared" si="4"/>
        <v>2618.4214471711607</v>
      </c>
      <c r="AB17" s="243">
        <f t="shared" si="0"/>
        <v>5394.7889765643376</v>
      </c>
      <c r="AC17" s="243">
        <f t="shared" si="1"/>
        <v>1438.6103937504899</v>
      </c>
      <c r="AD17" s="243">
        <f t="shared" si="5"/>
        <v>15.75303469580998</v>
      </c>
      <c r="AE17" s="244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49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43">
        <f t="shared" si="18"/>
        <v>13040.115857402958</v>
      </c>
      <c r="AA18" s="243">
        <f t="shared" si="4"/>
        <v>2932.8488673283605</v>
      </c>
      <c r="AB18" s="243">
        <f t="shared" si="0"/>
        <v>6042.6104271662653</v>
      </c>
      <c r="AC18" s="243">
        <f t="shared" si="1"/>
        <v>1611.3627805776709</v>
      </c>
      <c r="AD18" s="243">
        <f t="shared" si="5"/>
        <v>17.644703458453826</v>
      </c>
      <c r="AE18" s="244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49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43">
        <f t="shared" si="18"/>
        <v>8291.6818021194413</v>
      </c>
      <c r="AA19" s="243">
        <f t="shared" si="4"/>
        <v>1864.8798712771827</v>
      </c>
      <c r="AB19" s="243">
        <f t="shared" si="0"/>
        <v>3842.2513621907497</v>
      </c>
      <c r="AC19" s="243">
        <f t="shared" si="1"/>
        <v>1024.6003632508666</v>
      </c>
      <c r="AD19" s="243">
        <f t="shared" si="5"/>
        <v>11.219552661197998</v>
      </c>
      <c r="AE19" s="244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49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43">
        <f t="shared" si="18"/>
        <v>8629.133968484768</v>
      </c>
      <c r="AA20" s="243">
        <f t="shared" si="4"/>
        <v>1940.7761451082308</v>
      </c>
      <c r="AB20" s="243">
        <f t="shared" si="0"/>
        <v>3998.6220571636291</v>
      </c>
      <c r="AC20" s="243">
        <f t="shared" si="1"/>
        <v>1066.2992152436345</v>
      </c>
      <c r="AD20" s="243">
        <f t="shared" si="5"/>
        <v>11.676162362525824</v>
      </c>
      <c r="AE20" s="244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49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3">
        <f>((0.942-0.1*(L21^0.5)-0.0008*(M21^0.5))^2)*H21</f>
        <v>19626.912859253018</v>
      </c>
      <c r="AA21" s="243">
        <f t="shared" si="4"/>
        <v>3262.3633671962129</v>
      </c>
      <c r="AB21" s="243">
        <f t="shared" si="0"/>
        <v>7643.4221573327713</v>
      </c>
      <c r="AC21" s="243">
        <f t="shared" si="1"/>
        <v>2038.2459086220724</v>
      </c>
      <c r="AD21" s="243">
        <f t="shared" si="5"/>
        <v>21.573385721918427</v>
      </c>
      <c r="AE21" s="244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49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43">
        <f t="shared" ref="Z22:Z28" si="19">((0.942-0.1*(L22^0.5)-0.0008*(M22^0.5))^2)*H22</f>
        <v>23263.752761197298</v>
      </c>
      <c r="AA22" s="243">
        <f t="shared" si="4"/>
        <v>3866.8748027716215</v>
      </c>
      <c r="AB22" s="243">
        <f t="shared" si="0"/>
        <v>9059.7377485077577</v>
      </c>
      <c r="AC22" s="243">
        <f t="shared" si="1"/>
        <v>2415.9300662687356</v>
      </c>
      <c r="AD22" s="243">
        <f t="shared" si="5"/>
        <v>25.57090436258019</v>
      </c>
      <c r="AE22" s="244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49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43">
        <f t="shared" si="19"/>
        <v>17312.560194379384</v>
      </c>
      <c r="AA23" s="243">
        <f t="shared" si="4"/>
        <v>2877.6742718300438</v>
      </c>
      <c r="AB23" s="243">
        <f t="shared" si="0"/>
        <v>6742.1304174941442</v>
      </c>
      <c r="AC23" s="243">
        <f t="shared" si="1"/>
        <v>1797.9014446651054</v>
      </c>
      <c r="AD23" s="243">
        <f t="shared" si="5"/>
        <v>19.029510223315491</v>
      </c>
      <c r="AE23" s="244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49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43">
        <f t="shared" si="19"/>
        <v>18665.103959565273</v>
      </c>
      <c r="AA24" s="243">
        <f t="shared" si="4"/>
        <v>3102.4925743167664</v>
      </c>
      <c r="AB24" s="243">
        <f t="shared" si="0"/>
        <v>7268.8593563608738</v>
      </c>
      <c r="AC24" s="243">
        <f t="shared" si="1"/>
        <v>1938.3624950295664</v>
      </c>
      <c r="AD24" s="243">
        <f t="shared" si="5"/>
        <v>20.51619070951201</v>
      </c>
      <c r="AE24" s="244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3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3">
        <f t="shared" si="19"/>
        <v>53200.054763978318</v>
      </c>
      <c r="AA25" s="243">
        <f t="shared" si="4"/>
        <v>8842.8532311444051</v>
      </c>
      <c r="AB25" s="243">
        <f t="shared" si="0"/>
        <v>20718.004928758048</v>
      </c>
      <c r="AC25" s="243">
        <f t="shared" si="1"/>
        <v>5524.8013143354801</v>
      </c>
      <c r="AD25" s="243">
        <f t="shared" si="5"/>
        <v>58.476099123729895</v>
      </c>
      <c r="AE25" s="244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3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3">
        <f t="shared" si="19"/>
        <v>36969.529581747644</v>
      </c>
      <c r="AA26" s="243">
        <f t="shared" si="4"/>
        <v>6145.0336013037395</v>
      </c>
      <c r="AB26" s="243">
        <f t="shared" si="0"/>
        <v>14397.25766235729</v>
      </c>
      <c r="AC26" s="243">
        <f t="shared" si="1"/>
        <v>3839.2687099619438</v>
      </c>
      <c r="AD26" s="243">
        <f t="shared" si="5"/>
        <v>40.635933289371614</v>
      </c>
      <c r="AE26" s="244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3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43">
        <f t="shared" si="19"/>
        <v>42980.835204796043</v>
      </c>
      <c r="AA27" s="243">
        <f t="shared" si="4"/>
        <v>7144.2260568002821</v>
      </c>
      <c r="AB27" s="243">
        <f t="shared" si="0"/>
        <v>16738.275168431643</v>
      </c>
      <c r="AC27" s="243">
        <f t="shared" si="1"/>
        <v>4463.5400449151057</v>
      </c>
      <c r="AD27" s="243">
        <f t="shared" si="5"/>
        <v>47.243402116911717</v>
      </c>
      <c r="AE27" s="244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3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3">
        <f t="shared" si="19"/>
        <v>42980.835204796043</v>
      </c>
      <c r="AA28" s="243">
        <f t="shared" si="4"/>
        <v>7144.2260568002821</v>
      </c>
      <c r="AB28" s="243">
        <f t="shared" si="0"/>
        <v>16738.275168431643</v>
      </c>
      <c r="AC28" s="243">
        <f t="shared" si="1"/>
        <v>4463.5400449151057</v>
      </c>
      <c r="AD28" s="243">
        <f t="shared" si="5"/>
        <v>47.243402116911717</v>
      </c>
      <c r="AE28" s="244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3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43">
        <f>((0.976-0.119*(L29^0.5)-0.0019*(M29^0.5))^2)*H29</f>
        <v>39856.844750801785</v>
      </c>
      <c r="AA29" s="243">
        <f t="shared" si="4"/>
        <v>9295.9396606570153</v>
      </c>
      <c r="AB29" s="243">
        <f t="shared" si="0"/>
        <v>18887.11602757216</v>
      </c>
      <c r="AC29" s="243">
        <f t="shared" si="1"/>
        <v>5036.5642740192434</v>
      </c>
      <c r="AD29" s="243">
        <f t="shared" si="5"/>
        <v>55.366033270414036</v>
      </c>
      <c r="AE29" s="244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3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43">
        <f t="shared" ref="Z30:Z40" si="20">((0.976-0.119*(L30^0.5)-0.0019*(M30^0.5))^2)*H30</f>
        <v>39856.844750801785</v>
      </c>
      <c r="AA30" s="243">
        <f t="shared" si="4"/>
        <v>9295.9396606570153</v>
      </c>
      <c r="AB30" s="243">
        <f t="shared" si="0"/>
        <v>18887.11602757216</v>
      </c>
      <c r="AC30" s="243">
        <f t="shared" si="1"/>
        <v>5036.5642740192434</v>
      </c>
      <c r="AD30" s="243">
        <f t="shared" si="5"/>
        <v>55.366033270414036</v>
      </c>
      <c r="AE30" s="244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3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3">
        <f t="shared" si="20"/>
        <v>43608.077197936072</v>
      </c>
      <c r="AA31" s="243">
        <f t="shared" si="4"/>
        <v>10170.851628718852</v>
      </c>
      <c r="AB31" s="243">
        <f t="shared" si="0"/>
        <v>20664.726947814244</v>
      </c>
      <c r="AC31" s="243">
        <f t="shared" si="1"/>
        <v>5510.5938527504659</v>
      </c>
      <c r="AD31" s="243">
        <f t="shared" si="5"/>
        <v>60.576954048805931</v>
      </c>
      <c r="AE31" s="244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3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43">
        <f t="shared" si="20"/>
        <v>51110.54209220464</v>
      </c>
      <c r="AA32" s="243">
        <f t="shared" si="4"/>
        <v>11920.675564842526</v>
      </c>
      <c r="AB32" s="243">
        <f t="shared" si="0"/>
        <v>24219.948788298414</v>
      </c>
      <c r="AC32" s="243">
        <f t="shared" si="1"/>
        <v>6458.6530102129109</v>
      </c>
      <c r="AD32" s="243">
        <f t="shared" si="5"/>
        <v>70.998795605589748</v>
      </c>
      <c r="AE32" s="244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43">
        <f t="shared" si="20"/>
        <v>65881.019852795886</v>
      </c>
      <c r="AA33" s="243">
        <f t="shared" si="4"/>
        <v>15365.64143908601</v>
      </c>
      <c r="AB33" s="243">
        <f t="shared" si="0"/>
        <v>31219.291786751626</v>
      </c>
      <c r="AC33" s="243">
        <f t="shared" si="1"/>
        <v>8325.1444764671014</v>
      </c>
      <c r="AD33" s="243">
        <f t="shared" si="5"/>
        <v>91.516796170507902</v>
      </c>
      <c r="AE33" s="244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2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43">
        <f t="shared" si="20"/>
        <v>65881.019852795886</v>
      </c>
      <c r="AA34" s="243">
        <f t="shared" si="4"/>
        <v>15365.64143908601</v>
      </c>
      <c r="AB34" s="243">
        <f t="shared" si="0"/>
        <v>31219.291786751626</v>
      </c>
      <c r="AC34" s="243">
        <f t="shared" si="1"/>
        <v>8325.1444764671014</v>
      </c>
      <c r="AD34" s="243">
        <f t="shared" si="5"/>
        <v>91.516796170507902</v>
      </c>
      <c r="AE34" s="244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2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43">
        <f t="shared" si="20"/>
        <v>69632.252299930173</v>
      </c>
      <c r="AA35" s="243">
        <f t="shared" si="4"/>
        <v>16240.553407147845</v>
      </c>
      <c r="AB35" s="243">
        <f t="shared" si="0"/>
        <v>32996.902706993715</v>
      </c>
      <c r="AC35" s="243">
        <f t="shared" si="1"/>
        <v>8799.1740551983257</v>
      </c>
      <c r="AD35" s="243">
        <f t="shared" si="5"/>
        <v>96.727716948899811</v>
      </c>
      <c r="AE35" s="244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2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43">
        <f t="shared" si="20"/>
        <v>68459.992160200709</v>
      </c>
      <c r="AA36" s="243">
        <f t="shared" si="4"/>
        <v>15967.14341712852</v>
      </c>
      <c r="AB36" s="243">
        <f t="shared" si="0"/>
        <v>32441.399294418065</v>
      </c>
      <c r="AC36" s="243">
        <f t="shared" si="1"/>
        <v>8651.0398118448175</v>
      </c>
      <c r="AD36" s="243">
        <f t="shared" si="5"/>
        <v>95.099304205652345</v>
      </c>
      <c r="AE36" s="244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2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43">
        <f t="shared" si="20"/>
        <v>76196.909082415179</v>
      </c>
      <c r="AA37" s="243">
        <f t="shared" si="4"/>
        <v>17771.649351256059</v>
      </c>
      <c r="AB37" s="243">
        <f t="shared" si="0"/>
        <v>36107.721817417361</v>
      </c>
      <c r="AC37" s="243">
        <f t="shared" si="1"/>
        <v>9628.7258179779637</v>
      </c>
      <c r="AD37" s="243">
        <f t="shared" si="5"/>
        <v>105.84682831108563</v>
      </c>
      <c r="AE37" s="244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2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43">
        <f t="shared" si="20"/>
        <v>82292.661809008394</v>
      </c>
      <c r="AA38" s="243">
        <f t="shared" si="4"/>
        <v>19193.381299356544</v>
      </c>
      <c r="AB38" s="243">
        <f t="shared" si="0"/>
        <v>38996.339562810754</v>
      </c>
      <c r="AC38" s="243">
        <f t="shared" si="1"/>
        <v>10399.023883416201</v>
      </c>
      <c r="AD38" s="243">
        <f t="shared" si="5"/>
        <v>114.31457457597251</v>
      </c>
      <c r="AE38" s="244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2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43">
        <f t="shared" si="20"/>
        <v>84168.27803257553</v>
      </c>
      <c r="AA39" s="243">
        <f t="shared" si="4"/>
        <v>19630.837283387464</v>
      </c>
      <c r="AB39" s="243">
        <f t="shared" si="0"/>
        <v>39885.145022931792</v>
      </c>
      <c r="AC39" s="243">
        <f t="shared" si="1"/>
        <v>10636.038672781813</v>
      </c>
      <c r="AD39" s="243">
        <f t="shared" si="5"/>
        <v>116.92003496516845</v>
      </c>
      <c r="AE39" s="244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2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43">
        <f t="shared" si="20"/>
        <v>93780.811178357137</v>
      </c>
      <c r="AA40" s="243">
        <f t="shared" si="4"/>
        <v>21872.79920154592</v>
      </c>
      <c r="AB40" s="243">
        <f t="shared" si="0"/>
        <v>44440.273006052135</v>
      </c>
      <c r="AC40" s="243">
        <f t="shared" si="1"/>
        <v>11850.739468280572</v>
      </c>
      <c r="AD40" s="243">
        <f t="shared" si="5"/>
        <v>130.27301945979772</v>
      </c>
      <c r="AE40" s="244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H41" s="222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3">
        <f>((0.786-0.063*(L41^0.5)-0.0033*(M41^0.5))^2)*H41</f>
        <v>1648.5270371999154</v>
      </c>
      <c r="AA41" s="243">
        <f t="shared" si="4"/>
        <v>346.53378305714887</v>
      </c>
      <c r="AB41" s="243">
        <f t="shared" si="0"/>
        <v>733.36743334799235</v>
      </c>
      <c r="AC41" s="243">
        <f t="shared" si="1"/>
        <v>195.56464889279798</v>
      </c>
      <c r="AD41" s="243">
        <f t="shared" si="5"/>
        <v>6.3773293264896962</v>
      </c>
      <c r="AE41" s="244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2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43">
        <f t="shared" ref="Z42:Z43" si="21">((0.786-0.063*(L42^0.5)-0.0033*(M42^0.5))^2)*H42</f>
        <v>2460.1095785906427</v>
      </c>
      <c r="AA42" s="243">
        <f t="shared" si="4"/>
        <v>517.13503010066836</v>
      </c>
      <c r="AB42" s="243">
        <f t="shared" si="0"/>
        <v>1094.4098620731579</v>
      </c>
      <c r="AC42" s="243">
        <f t="shared" si="1"/>
        <v>291.84262988617547</v>
      </c>
      <c r="AD42" s="243">
        <f t="shared" si="5"/>
        <v>9.5169376103000083</v>
      </c>
      <c r="AE42" s="244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3">
        <f t="shared" si="21"/>
        <v>3094.1584390521489</v>
      </c>
      <c r="AA43" s="243">
        <f t="shared" si="4"/>
        <v>650.41725435341789</v>
      </c>
      <c r="AB43" s="243">
        <f t="shared" si="0"/>
        <v>1376.4742595146934</v>
      </c>
      <c r="AC43" s="243">
        <f t="shared" si="1"/>
        <v>367.05980253725158</v>
      </c>
      <c r="AD43" s="243">
        <f t="shared" si="5"/>
        <v>11.969756582026815</v>
      </c>
      <c r="AE43" s="244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78" t="s">
        <v>449</v>
      </c>
      <c r="B1" s="278"/>
      <c r="C1" s="164">
        <v>2</v>
      </c>
      <c r="D1" s="164">
        <v>3</v>
      </c>
      <c r="E1" s="164">
        <v>4</v>
      </c>
      <c r="F1" s="164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125</v>
      </c>
      <c r="T2" s="276"/>
      <c r="U2" s="276"/>
      <c r="V2" s="276"/>
      <c r="W2" s="276"/>
      <c r="X2" s="276"/>
      <c r="Y2" s="277" t="s">
        <v>124</v>
      </c>
      <c r="Z2" s="277"/>
    </row>
    <row r="3" spans="1:36" s="15" customFormat="1" ht="10.25" customHeight="1" x14ac:dyDescent="0.15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3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5">
        <f t="shared" si="14"/>
        <v>525.20000000000005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3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5">
        <f t="shared" si="14"/>
        <v>601.96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6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3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5">
        <f t="shared" si="14"/>
        <v>144.05485714285714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49">
        <v>193000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3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5">
        <f t="shared" si="14"/>
        <v>89.110857142857142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4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49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3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5">
        <f t="shared" si="14"/>
        <v>126.048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49">
        <v>261000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3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5">
        <f t="shared" si="14"/>
        <v>120.50742857142856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49">
        <v>250000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3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5">
        <f t="shared" si="14"/>
        <v>115.42857142857143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49">
        <v>294000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3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5">
        <f t="shared" si="14"/>
        <v>135.744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49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3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5">
        <f t="shared" si="14"/>
        <v>142.208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49">
        <v>343000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3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5">
        <f t="shared" si="14"/>
        <v>158.36799999999999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 x14ac:dyDescent="0.2">
      <c r="D25" s="164" t="s">
        <v>444</v>
      </c>
      <c r="G25" s="164" t="str">
        <f t="shared" si="1"/>
        <v/>
      </c>
    </row>
    <row r="26" spans="1:33" x14ac:dyDescent="0.2">
      <c r="D26" s="164" t="s">
        <v>444</v>
      </c>
      <c r="G26" s="164" t="str">
        <f t="shared" si="1"/>
        <v/>
      </c>
    </row>
    <row r="27" spans="1:33" x14ac:dyDescent="0.2">
      <c r="D27" s="164" t="s">
        <v>444</v>
      </c>
      <c r="G27" s="164" t="str">
        <f t="shared" si="1"/>
        <v/>
      </c>
    </row>
    <row r="28" spans="1:33" x14ac:dyDescent="0.2">
      <c r="D28" s="164" t="s">
        <v>444</v>
      </c>
      <c r="G28" s="164" t="str">
        <f t="shared" si="1"/>
        <v/>
      </c>
    </row>
    <row r="29" spans="1:33" x14ac:dyDescent="0.2">
      <c r="D29" s="164" t="s">
        <v>444</v>
      </c>
      <c r="G29" s="164" t="str">
        <f t="shared" si="1"/>
        <v/>
      </c>
    </row>
    <row r="30" spans="1:33" x14ac:dyDescent="0.2">
      <c r="D30" s="164" t="s">
        <v>444</v>
      </c>
      <c r="G30" s="164" t="str">
        <f t="shared" si="1"/>
        <v/>
      </c>
    </row>
    <row r="31" spans="1:33" x14ac:dyDescent="0.2">
      <c r="D31" s="164" t="s">
        <v>444</v>
      </c>
      <c r="G31" s="164" t="str">
        <f t="shared" si="1"/>
        <v/>
      </c>
    </row>
    <row r="32" spans="1:33" x14ac:dyDescent="0.2">
      <c r="D32" s="164" t="s">
        <v>444</v>
      </c>
      <c r="G32" s="164" t="str">
        <f t="shared" si="1"/>
        <v/>
      </c>
    </row>
    <row r="33" spans="4:7" s="222" customFormat="1" x14ac:dyDescent="0.2">
      <c r="D33" s="164" t="s">
        <v>444</v>
      </c>
      <c r="E33" s="164"/>
      <c r="F33" s="164"/>
      <c r="G33" s="164" t="str">
        <f t="shared" si="1"/>
        <v/>
      </c>
    </row>
    <row r="34" spans="4:7" s="222" customFormat="1" x14ac:dyDescent="0.2">
      <c r="D34" s="164" t="s">
        <v>444</v>
      </c>
      <c r="E34" s="164"/>
      <c r="F34" s="164"/>
      <c r="G34" s="164" t="str">
        <f t="shared" si="1"/>
        <v/>
      </c>
    </row>
    <row r="35" spans="4:7" s="222" customFormat="1" x14ac:dyDescent="0.2">
      <c r="D35" s="164" t="s">
        <v>444</v>
      </c>
      <c r="E35" s="164"/>
      <c r="F35" s="164"/>
      <c r="G35" s="164" t="str">
        <f t="shared" si="1"/>
        <v/>
      </c>
    </row>
    <row r="36" spans="4:7" s="222" customFormat="1" x14ac:dyDescent="0.2">
      <c r="D36" s="164" t="s">
        <v>444</v>
      </c>
      <c r="E36" s="164"/>
      <c r="F36" s="164"/>
      <c r="G36" s="164" t="str">
        <f t="shared" si="1"/>
        <v/>
      </c>
    </row>
    <row r="37" spans="4:7" s="222" customFormat="1" x14ac:dyDescent="0.2">
      <c r="D37" s="164"/>
      <c r="E37" s="164"/>
      <c r="F37" s="164"/>
      <c r="G37" s="164"/>
    </row>
    <row r="38" spans="4:7" s="222" customFormat="1" x14ac:dyDescent="0.2">
      <c r="D38" s="164"/>
      <c r="E38" s="164"/>
      <c r="F38" s="164"/>
      <c r="G38" s="164"/>
    </row>
    <row r="39" spans="4:7" s="222" customFormat="1" x14ac:dyDescent="0.2">
      <c r="D39" s="164"/>
      <c r="E39" s="164"/>
      <c r="F39" s="164"/>
      <c r="G39" s="164"/>
    </row>
    <row r="40" spans="4:7" s="222" customFormat="1" x14ac:dyDescent="0.2">
      <c r="D40" s="164"/>
      <c r="E40" s="164"/>
      <c r="F40" s="164"/>
      <c r="G40" s="164"/>
    </row>
    <row r="41" spans="4:7" s="222" customFormat="1" x14ac:dyDescent="0.2">
      <c r="D41" s="164"/>
      <c r="E41" s="164"/>
      <c r="F41" s="164"/>
      <c r="G41" s="164"/>
    </row>
    <row r="42" spans="4:7" s="222" customFormat="1" x14ac:dyDescent="0.2">
      <c r="D42" s="164"/>
      <c r="E42" s="164"/>
      <c r="F42" s="164"/>
      <c r="G42" s="164"/>
    </row>
    <row r="43" spans="4:7" s="222" customFormat="1" x14ac:dyDescent="0.2">
      <c r="D43" s="164"/>
      <c r="E43" s="164"/>
      <c r="F43" s="164"/>
      <c r="G43" s="164"/>
    </row>
    <row r="44" spans="4:7" s="222" customFormat="1" x14ac:dyDescent="0.2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2014-01-13T20:58:51Z</cp:lastPrinted>
  <dcterms:created xsi:type="dcterms:W3CDTF">2010-11-24T19:49:39Z</dcterms:created>
  <dcterms:modified xsi:type="dcterms:W3CDTF">2017-11-30T16:21:43Z</dcterms:modified>
</cp:coreProperties>
</file>