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Instructions" sheetId="12" r:id="rId12"/>
    <sheet name="M" sheetId="13" r:id="rId13"/>
    <sheet name="N" sheetId="14" r:id="rId14"/>
  </sheets>
  <definedNames>
    <definedName name="\AUTOEXEC">'Bud'!$U$143:$U$145</definedName>
    <definedName name="\C">'Bud'!$I$143:$I$183</definedName>
    <definedName name="\FLOW">'N'!$E$1:$E$4</definedName>
    <definedName name="\T">'Bud'!$C$143:$C$183</definedName>
    <definedName name="\TOTAL">'N'!$B$1:$B$4</definedName>
    <definedName name="\V">'Bud'!$O$143:$O$183</definedName>
    <definedName name="\VARIABLE">'N'!$H$1:$H$4</definedName>
    <definedName name="\X">'Bud'!$F$143:$F$183</definedName>
    <definedName name="\Y">'Bud'!$L$143:$L$183</definedName>
    <definedName name="\Z">'Bud'!$R$143:$R$183</definedName>
    <definedName name="ENR">'Bud'!$O$99:$O$99</definedName>
    <definedName name="ENR_MNR">'Bud'!$O$99:$O$99</definedName>
    <definedName name="ETR">'Bud'!$M$98:$M$98</definedName>
    <definedName name="EXPP">'Bud'!$O$80:$O$80</definedName>
    <definedName name="EXPY">'Bud'!$M$80:$M$80</definedName>
    <definedName name="MEDP">'Bud'!$G$21:$G$21</definedName>
    <definedName name="MEDY">'Bud'!$G$20:$G$20</definedName>
    <definedName name="MNR">'Bud'!$M$100:$M$100</definedName>
    <definedName name="MTC">'Bud'!$O$98:$O$98</definedName>
    <definedName name="MTCV">'Bud'!$O$98:$O$98</definedName>
    <definedName name="MTR">'Bud'!$M$99:$M$99</definedName>
    <definedName name="STRHH">'Bud'!$M$94:$M$94</definedName>
    <definedName name="STRHL">'Bud'!$M$95:$M$95</definedName>
    <definedName name="STRLH">'Bud'!$O$95:$O$95</definedName>
    <definedName name="STRLL">'Bud'!$O$94:$O$94</definedName>
    <definedName name="STRO">'Bud'!$M$96:$M$96</definedName>
    <definedName name="STRP">'Bud'!$O$96:$O$96</definedName>
    <definedName name="UNIT">'Bud'!$I$15:$I$15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<sst xmlns="http://schemas.openxmlformats.org/spreadsheetml/2006/main" count="1021" uniqueCount="378">
  <si>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</si>
  <si>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</si>
  <si>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</si>
  <si>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</si>
  <si>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</si>
  <si>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</si>
  <si>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 ($) =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</si>
  <si>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</si>
  <si>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</si>
  <si>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</si>
  <si>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</si>
  <si>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</si>
  <si>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</si>
  <si>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</si>
  <si>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</si>
  <si>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</si>
  <si>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</si>
  <si>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</si>
  <si>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</si>
  <si>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</si>
  <si>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</si>
  <si>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</si>
  <si>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</si>
  <si>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</si>
  <si>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</si>
  <si>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</si>
  <si>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</si>
  <si>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</si>
  <si>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</si>
  <si>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</si>
  <si>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</si>
  <si>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</si>
  <si>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</si>
  <si>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</si>
  <si>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</si>
  <si>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</si>
  <si>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</si>
  <si>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</si>
  <si>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</si>
  <si>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</si>
  <si>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</si>
  <si>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</si>
  <si>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</si>
  <si>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</si>
  <si>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</si>
  <si>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</si>
  <si>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</si>
  <si>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</si>
  <si>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</si>
  <si>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</si>
  <si>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</si>
  <si>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</si>
  <si>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</si>
  <si>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</si>
  <si>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</si>
  <si>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</si>
  <si>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</si>
  <si>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</si>
  <si>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</si>
  <si>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</si>
  <si>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</si>
  <si>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</si>
  <si>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</si>
  <si>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per lb.</t>
  </si>
  <si>
    <t xml:space="preserve"> Rep &amp; maint.+ irrigation</t>
  </si>
  <si>
    <t xml:space="preserve"> Repair &amp; maintenance</t>
  </si>
  <si>
    <t xml:space="preserve"> Repair &amp; Maintenance</t>
  </si>
  <si>
    <t xml:space="preserve"> Rotary Mower</t>
  </si>
  <si>
    <t xml:space="preserve"> Shake</t>
  </si>
  <si>
    <t xml:space="preserve"> Sprayer:</t>
  </si>
  <si>
    <t xml:space="preserve"> Sweep</t>
  </si>
  <si>
    <t xml:space="preserve"> Type</t>
  </si>
  <si>
    <t xml:space="preserve"> VARIABLE 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</si>
  <si>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</si>
  <si>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</si>
  <si>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</si>
  <si>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</si>
  <si>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</si>
  <si>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</si>
  <si>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</si>
  <si>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</si>
  <si>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</si>
  <si>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</si>
  <si>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</si>
  <si>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</si>
  <si>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</si>
  <si>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</si>
  <si>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</si>
  <si>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</si>
  <si>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</si>
  <si>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</si>
  <si>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</si>
  <si>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</si>
  <si>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</si>
  <si>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</si>
  <si>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</si>
  <si>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</si>
  <si>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</si>
  <si>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</si>
  <si>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</si>
  <si>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</si>
  <si>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</si>
  <si>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</si>
  <si>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</si>
  <si>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</si>
  <si>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</si>
  <si>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</si>
  <si>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</si>
  <si>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</si>
  <si>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</si>
  <si>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</si>
  <si>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</si>
  <si>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</si>
  <si>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 xml:space="preserve">BE fixed costs                 </t>
  </si>
  <si>
    <t>BE harvest &amp; marketing cost per lb.</t>
  </si>
  <si>
    <t>BE pre-harvest variable cost per lb.</t>
  </si>
  <si>
    <t>Best</t>
  </si>
  <si>
    <t>Break-Even (BE) Costs Per Lb.</t>
  </si>
  <si>
    <t>Brokerage fee (%)</t>
  </si>
  <si>
    <t>Budget</t>
  </si>
  <si>
    <t>Button /</t>
  </si>
  <si>
    <t>by</t>
  </si>
  <si>
    <t>Calculate</t>
  </si>
  <si>
    <t>Calculation of NR and for Z values</t>
  </si>
  <si>
    <t>Calculations</t>
  </si>
  <si>
    <t xml:space="preserve">CASH </t>
  </si>
  <si>
    <t>Chances</t>
  </si>
  <si>
    <t>CHANCES FOR PROFIT =</t>
  </si>
  <si>
    <t>Cleaning &amp; Drying</t>
  </si>
  <si>
    <t>COST</t>
  </si>
  <si>
    <t>Costs Per Lb.</t>
  </si>
  <si>
    <t>Crop</t>
  </si>
  <si>
    <t>Deprec.</t>
  </si>
  <si>
    <t>DEPREC.</t>
  </si>
  <si>
    <t>DEPTH OF WELL IN FEET</t>
  </si>
  <si>
    <t>DRIP IRRIGATION FOR PECANS</t>
  </si>
  <si>
    <t>Dump wagon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</si>
  <si>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</si>
  <si>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</si>
  <si>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</si>
  <si>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</si>
  <si>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</si>
  <si>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</si>
  <si>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</si>
  <si>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</si>
  <si>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</si>
  <si>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</si>
  <si>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</si>
  <si>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</si>
  <si>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</si>
  <si>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</si>
  <si>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</si>
  <si>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FLOW</t>
  </si>
  <si>
    <t>Foliar B</t>
  </si>
  <si>
    <t>Foliar Boron</t>
  </si>
  <si>
    <t>Foliar Zn</t>
  </si>
  <si>
    <t>For</t>
  </si>
  <si>
    <t>Fuel</t>
  </si>
  <si>
    <t>Fungicide</t>
  </si>
  <si>
    <t>Fungicides</t>
  </si>
  <si>
    <t>Gal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</si>
  <si>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</si>
  <si>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</si>
  <si>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</si>
  <si>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</si>
  <si>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</si>
  <si>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</si>
  <si>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</si>
  <si>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</si>
  <si>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</si>
  <si>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</si>
  <si>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</si>
  <si>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</si>
  <si>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</si>
  <si>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</si>
  <si>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</si>
  <si>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</si>
  <si>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</si>
  <si>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</si>
  <si>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</si>
  <si>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</si>
  <si>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</si>
  <si>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</si>
  <si>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</si>
  <si>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</si>
  <si>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</si>
  <si>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</si>
  <si>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</si>
  <si>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Key board</t>
  </si>
  <si>
    <t>Labor</t>
  </si>
  <si>
    <t>Land</t>
  </si>
  <si>
    <t>Land Lease</t>
  </si>
  <si>
    <t>Land rent</t>
  </si>
  <si>
    <t>Lbs</t>
  </si>
  <si>
    <t>Lbs.</t>
  </si>
  <si>
    <t>Life</t>
  </si>
  <si>
    <t>Lime (DOL.)</t>
  </si>
  <si>
    <t>Lime (Dolomite)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</si>
  <si>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</si>
  <si>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</si>
  <si>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</si>
  <si>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</si>
  <si>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</si>
  <si>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</si>
  <si>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</si>
  <si>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 (46% Urea)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</si>
  <si>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</si>
  <si>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</si>
  <si>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</si>
  <si>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</si>
  <si>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</si>
  <si>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</si>
  <si>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Operation</t>
  </si>
  <si>
    <t>Opt</t>
  </si>
  <si>
    <t>Other</t>
  </si>
  <si>
    <t>Over</t>
  </si>
  <si>
    <t>Overhead and Management</t>
  </si>
  <si>
    <t xml:space="preserve">PECAN  RETURNS </t>
  </si>
  <si>
    <t xml:space="preserve">PECANS   </t>
  </si>
  <si>
    <t>Per</t>
  </si>
  <si>
    <t>Percent</t>
  </si>
  <si>
    <t>Pess</t>
  </si>
  <si>
    <t>Phosphorus</t>
  </si>
  <si>
    <t>Phosphorus (P)</t>
  </si>
  <si>
    <t>PIPE &amp; FITTINGS</t>
  </si>
  <si>
    <t>Potassium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</si>
  <si>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</si>
  <si>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</si>
  <si>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</si>
  <si>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</si>
  <si>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</si>
  <si>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</si>
  <si>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</si>
  <si>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Price/lb</t>
  </si>
  <si>
    <t>Print</t>
  </si>
  <si>
    <t>Purchase</t>
  </si>
  <si>
    <t>PUTBLOCK</t>
  </si>
  <si>
    <t>Quant.</t>
  </si>
  <si>
    <t>QUANT.</t>
  </si>
  <si>
    <t>Quantity</t>
  </si>
  <si>
    <t>Recapture estab. costs</t>
  </si>
  <si>
    <t>Repair &amp; Matenance</t>
  </si>
  <si>
    <t>Repairs</t>
  </si>
  <si>
    <t>REPAIRS</t>
  </si>
  <si>
    <t>Repairs &amp; Maintenance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</si>
  <si>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</si>
  <si>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</si>
  <si>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</si>
  <si>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</si>
  <si>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</si>
  <si>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</si>
  <si>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</si>
  <si>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Spray material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</si>
  <si>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</si>
  <si>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</si>
  <si>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</si>
  <si>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</si>
  <si>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</si>
  <si>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</si>
  <si>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</si>
  <si>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</si>
  <si>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</si>
  <si>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</si>
  <si>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</si>
  <si>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</si>
  <si>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</si>
  <si>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</si>
  <si>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</si>
  <si>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</si>
  <si>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</si>
  <si>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</si>
  <si>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</si>
  <si>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</si>
  <si>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</si>
  <si>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</si>
  <si>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</si>
  <si>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</si>
  <si>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</si>
  <si>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</si>
  <si>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</si>
  <si>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</si>
  <si>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</si>
  <si>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</si>
  <si>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</si>
  <si>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UGA, Ag and Applied Econ Dept. , UGA Horticulture Dept., and Ext Coordinator, Lee Co.</t>
  </si>
  <si>
    <t>UGA, Ag and Applied Econ Dept. Horticulture and Mitchell Co.</t>
  </si>
  <si>
    <t>Unit</t>
  </si>
  <si>
    <t>UNIT</t>
  </si>
  <si>
    <t>Use</t>
  </si>
  <si>
    <t>Used</t>
  </si>
  <si>
    <t>Value</t>
  </si>
  <si>
    <t>Var. Cost</t>
  </si>
  <si>
    <t>Variable Cost Budget</t>
  </si>
  <si>
    <t>Variable Costs</t>
  </si>
  <si>
    <t>VOLUME</t>
  </si>
  <si>
    <t xml:space="preserve">WELCOME TO THE </t>
  </si>
  <si>
    <t>Width</t>
  </si>
  <si>
    <t>Worst</t>
  </si>
  <si>
    <t>x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</si>
  <si>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</si>
  <si>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</si>
  <si>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</si>
  <si>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</si>
  <si>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</si>
  <si>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</si>
  <si>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</si>
  <si>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</si>
  <si>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 xml:space="preserve">Insecticide </t>
  </si>
  <si>
    <t>BE Yields</t>
  </si>
  <si>
    <t xml:space="preserve"> Fuel &amp; Oil</t>
  </si>
  <si>
    <t>Irrigation (electricity)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</si>
  <si>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</si>
  <si>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</si>
  <si>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</si>
  <si>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</si>
  <si>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</si>
  <si>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</si>
  <si>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</si>
  <si>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</si>
  <si>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GA Commission</t>
  </si>
  <si>
    <t>FMO Commission</t>
  </si>
  <si>
    <t>Trees (40 x 40)  2/-</t>
  </si>
  <si>
    <t>2/-  No of trees depend on planting distances, i.e. 40 x 40 fts = 27 trees; 50 x 25 = 35 trees; 40 x 20 = 55 trees; 60 x 30 = 24 trees</t>
  </si>
  <si>
    <t>3/-  Land lease vary from $100 - $300 depending on many factors such as irrigated or not.</t>
  </si>
  <si>
    <t>Land Lease 3/-</t>
  </si>
  <si>
    <t>Alion</t>
  </si>
  <si>
    <t>RU</t>
  </si>
  <si>
    <t>Lorsban</t>
  </si>
  <si>
    <t xml:space="preserve">Total </t>
  </si>
  <si>
    <t>Total Chemicals</t>
  </si>
  <si>
    <t>Weiss Sweeper</t>
  </si>
  <si>
    <t>Ramcer Harvester</t>
  </si>
  <si>
    <t xml:space="preserve">Weiss Blower </t>
  </si>
  <si>
    <t>Bush Hog Mower (20')</t>
  </si>
  <si>
    <t>John Deere Tractor 5095M  (hp 80)</t>
  </si>
  <si>
    <t>Bess Sprayer</t>
  </si>
  <si>
    <t>Herbicide strip Sprayer</t>
  </si>
  <si>
    <t>Chain saw</t>
  </si>
  <si>
    <t>Rouse Limb rake</t>
  </si>
  <si>
    <t xml:space="preserve">Pressure washer </t>
  </si>
  <si>
    <t>Fuel tank (200 gals)</t>
  </si>
  <si>
    <t>Pole saw</t>
  </si>
  <si>
    <t>Air Compressor</t>
  </si>
  <si>
    <t>Grinder (hand tools etc.)</t>
  </si>
  <si>
    <t>Dodge Truck (1/2 ton)</t>
  </si>
  <si>
    <t xml:space="preserve">Custom shaking </t>
  </si>
  <si>
    <t xml:space="preserve">Harvesting (sweeping, haul) </t>
  </si>
  <si>
    <t>Items</t>
  </si>
  <si>
    <t>Prepared by Esendugue Greg Fonsah  and Doug Collins</t>
  </si>
  <si>
    <t xml:space="preserve">PECAN BUDGET - SMALL GROWERS </t>
  </si>
  <si>
    <t>PECANS BUDGET - 2018</t>
  </si>
  <si>
    <t>Total Establishment Costs ($)</t>
  </si>
  <si>
    <t>Total Fixed Costs ($)</t>
  </si>
  <si>
    <t>Cost Per Acre For Georgia Pecan, 2018</t>
  </si>
  <si>
    <t>TOTAL COSTS (TC)</t>
  </si>
  <si>
    <t xml:space="preserve">TOTAL FIXED COSTS (TFC) </t>
  </si>
  <si>
    <t xml:space="preserve">2nd Through 4th Years, Georgia Pecans, 2018 </t>
  </si>
  <si>
    <t>TOTAL FIXED COSTS (TFC)</t>
  </si>
  <si>
    <t>5th Through 7th Years, Georgia Pecans,  2018</t>
  </si>
  <si>
    <t>ESTIMATED TOTAL ANNUAL FIXED MACHINERY COSTS FOR PECANS - 2018</t>
  </si>
  <si>
    <t>GROWERS ARE EXPECTED TO INPUT THEIR ACTUAL DATA HERE</t>
  </si>
  <si>
    <t xml:space="preserve">             ESTIMATING MACHINERY OPERATING COSTS FOR PECANS</t>
  </si>
  <si>
    <t>Cost Break-Down Per Year</t>
  </si>
  <si>
    <t>Year-1</t>
  </si>
  <si>
    <t>Years: 2-4</t>
  </si>
  <si>
    <t>Years: 5-7</t>
  </si>
  <si>
    <t>Years: =&gt; 8</t>
  </si>
  <si>
    <t>Total PreHarvest Variable Costs (P-VC) ($)</t>
  </si>
  <si>
    <t>Total Marketing and Harvesting Cost (TM&amp;HC) ($)</t>
  </si>
  <si>
    <t>Total Variable Costs (TVC) ($)</t>
  </si>
  <si>
    <t>Total Fixed Costs (TFC) ($)</t>
  </si>
  <si>
    <t>Total Costs (TC)  ($)</t>
  </si>
  <si>
    <t>1st. Year Estimated Establishment And Maintenance</t>
  </si>
  <si>
    <t>EXAMPLE OF CHEMICALS FOR PECANS</t>
  </si>
  <si>
    <t>THIS BUDGET IS INTERACTIVE</t>
  </si>
  <si>
    <t xml:space="preserve">Sensitivity Economic Risk-rated Returns for Price and Yield over Total Cost </t>
  </si>
  <si>
    <t>SMALL GROWERS PECAN  BUDGET</t>
  </si>
  <si>
    <t>SMALL GROWERS PECAN BUDGET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</si>
</sst>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5" fillId="2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168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Continuous"/>
    </xf>
    <xf numFmtId="2" fontId="3" fillId="35" borderId="10" xfId="0" applyNumberFormat="1" applyFont="1" applyFill="1" applyBorder="1" applyAlignment="1">
      <alignment horizontal="centerContinuous"/>
    </xf>
    <xf numFmtId="2" fontId="0" fillId="2" borderId="10" xfId="0" applyNumberFormat="1" applyFill="1" applyBorder="1" applyAlignment="1">
      <alignment horizontal="centerContinuous"/>
    </xf>
    <xf numFmtId="2" fontId="0" fillId="35" borderId="10" xfId="0" applyNumberForma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Continuous"/>
    </xf>
    <xf numFmtId="2" fontId="8" fillId="37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0" fontId="51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1" fontId="3" fillId="2" borderId="14" xfId="0" applyNumberFormat="1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9" fontId="3" fillId="2" borderId="12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2" fillId="2" borderId="10" xfId="0" applyFont="1" applyFill="1" applyBorder="1" applyAlignment="1">
      <alignment/>
    </xf>
    <xf numFmtId="3" fontId="51" fillId="2" borderId="10" xfId="0" applyNumberFormat="1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/>
    </xf>
    <xf numFmtId="0" fontId="53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377</v>
      </c>
      <c r="G3" s="2"/>
      <c r="H3" s="2"/>
      <c r="I3" s="2"/>
      <c r="J3" s="2"/>
      <c r="K3" s="2"/>
    </row>
    <row r="4" spans="2:12" ht="12.75">
      <c r="B4" s="1" t="s">
        <v>4</v>
      </c>
      <c r="E4" s="2" t="s">
        <v>230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285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247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90</v>
      </c>
    </row>
    <row r="12" spans="6:12" ht="15.75">
      <c r="F12" s="97" t="s">
        <v>218</v>
      </c>
      <c r="G12" s="98"/>
      <c r="H12" s="98"/>
      <c r="L12" s="1" t="s">
        <v>0</v>
      </c>
    </row>
    <row r="14" spans="6:12" ht="12.75">
      <c r="F14" s="1" t="s">
        <v>292</v>
      </c>
      <c r="L14" s="1" t="s">
        <v>0</v>
      </c>
    </row>
    <row r="15" spans="6:12" ht="12.75">
      <c r="F15" s="1" t="s">
        <v>8</v>
      </c>
      <c r="J15" s="6">
        <v>1</v>
      </c>
      <c r="L15" s="1" t="s">
        <v>2</v>
      </c>
    </row>
    <row r="16" spans="5:12" ht="12.75">
      <c r="E16" s="1" t="s">
        <v>185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116</v>
      </c>
      <c r="G18" s="7" t="s">
        <v>213</v>
      </c>
      <c r="H18" s="7" t="s">
        <v>203</v>
      </c>
      <c r="I18" s="8" t="s">
        <v>221</v>
      </c>
      <c r="J18" s="8" t="s">
        <v>297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88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86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186</v>
      </c>
      <c r="G23" s="7" t="s">
        <v>286</v>
      </c>
      <c r="H23" s="7" t="s">
        <v>237</v>
      </c>
      <c r="I23" s="8" t="s">
        <v>231</v>
      </c>
      <c r="J23" s="6" t="s">
        <v>74</v>
      </c>
      <c r="K23" s="11" t="s">
        <v>263</v>
      </c>
      <c r="L23" s="1" t="s">
        <v>0</v>
      </c>
    </row>
    <row r="24" ht="12.75">
      <c r="L24" s="1" t="s">
        <v>0</v>
      </c>
    </row>
    <row r="25" spans="3:10" ht="12.75">
      <c r="C25" s="1" t="s">
        <v>293</v>
      </c>
      <c r="J25" s="12" t="s">
        <v>0</v>
      </c>
    </row>
    <row r="26" spans="4:12" ht="12.75">
      <c r="D26" s="1" t="s">
        <v>198</v>
      </c>
      <c r="G26" s="7" t="s">
        <v>261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208</v>
      </c>
      <c r="G27" s="7" t="s">
        <v>194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223</v>
      </c>
      <c r="G28" s="7" t="s">
        <v>194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226</v>
      </c>
      <c r="G29" s="7" t="s">
        <v>194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305</v>
      </c>
      <c r="G30" s="7" t="s">
        <v>194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155</v>
      </c>
      <c r="G31" s="7" t="s">
        <v>194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153</v>
      </c>
      <c r="G32" s="7" t="s">
        <v>194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159</v>
      </c>
      <c r="G33" s="7" t="s">
        <v>110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167</v>
      </c>
      <c r="G34" s="7" t="s">
        <v>110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173</v>
      </c>
      <c r="G35" s="7" t="s">
        <v>110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189</v>
      </c>
      <c r="G36" s="7" t="s">
        <v>170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58</v>
      </c>
      <c r="G37" s="7" t="s">
        <v>161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65</v>
      </c>
      <c r="G38" s="7" t="s">
        <v>100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192</v>
      </c>
      <c r="G39" s="7" t="s">
        <v>100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184</v>
      </c>
      <c r="G40" s="7" t="s">
        <v>100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191</v>
      </c>
      <c r="G41" s="7" t="s">
        <v>100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179</v>
      </c>
      <c r="G42" s="7" t="s">
        <v>73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229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165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157</v>
      </c>
      <c r="G46" s="7" t="s">
        <v>110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200</v>
      </c>
      <c r="G47" s="7" t="s">
        <v>100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189</v>
      </c>
      <c r="G48" s="7" t="s">
        <v>170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128</v>
      </c>
      <c r="G49" s="7" t="s">
        <v>194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272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279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148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280</v>
      </c>
      <c r="G55" s="7" t="s">
        <v>170</v>
      </c>
      <c r="H55" s="8">
        <v>1</v>
      </c>
      <c r="I55" s="8">
        <f>FxdCost!I35</f>
        <v>210.881852</v>
      </c>
      <c r="J55" s="8">
        <f>H55*I55</f>
        <v>210.881852</v>
      </c>
      <c r="K55" s="11">
        <f>J15*J55</f>
        <v>210.881852</v>
      </c>
      <c r="L55" s="14" t="s">
        <v>0</v>
      </c>
    </row>
    <row r="56" spans="4:12" ht="12.75">
      <c r="D56" s="1" t="s">
        <v>184</v>
      </c>
      <c r="G56" s="7" t="s">
        <v>100</v>
      </c>
      <c r="H56" s="8">
        <v>1</v>
      </c>
      <c r="I56" s="8">
        <f>Drip!$I32</f>
        <v>135.99620666666667</v>
      </c>
      <c r="J56" s="8">
        <f>H56*I56</f>
        <v>135.99620666666667</v>
      </c>
      <c r="K56" s="11">
        <f>J15*J56</f>
        <v>135.99620666666667</v>
      </c>
      <c r="L56" s="7"/>
    </row>
    <row r="57" spans="4:12" ht="12.75">
      <c r="D57" s="1" t="s">
        <v>240</v>
      </c>
      <c r="G57" s="7" t="s">
        <v>100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190</v>
      </c>
      <c r="G58" s="7" t="s">
        <v>100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216</v>
      </c>
      <c r="G59" s="7" t="s">
        <v>73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269</v>
      </c>
      <c r="G60" s="7"/>
      <c r="H60" s="7"/>
      <c r="I60" s="7"/>
      <c r="J60" s="10">
        <f>SUM(J55:J59)</f>
        <v>520.2042125128205</v>
      </c>
      <c r="K60" s="16">
        <f>J15*J60</f>
        <v>520.2042125128205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266</v>
      </c>
      <c r="H62" s="7"/>
      <c r="I62" s="7"/>
      <c r="J62" s="10">
        <f>J43+J51+J60</f>
        <v>2077.9219048205127</v>
      </c>
      <c r="K62" s="9">
        <f>J15*J62</f>
        <v>2077.9219048205127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130</v>
      </c>
      <c r="H64" s="7"/>
      <c r="I64" s="7"/>
      <c r="J64" s="7"/>
      <c r="K64" s="7"/>
      <c r="L64" s="7"/>
    </row>
    <row r="65" spans="4:12" ht="12.75">
      <c r="D65" s="1" t="s">
        <v>228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164</v>
      </c>
      <c r="H66" s="7"/>
      <c r="I66" s="7"/>
      <c r="J66" s="8">
        <f>J51/H20</f>
        <v>0.2872928571428572</v>
      </c>
      <c r="K66" s="7"/>
      <c r="L66" s="7"/>
      <c r="M66" s="1" t="s">
        <v>82</v>
      </c>
      <c r="N66" s="1" t="s">
        <v>82</v>
      </c>
      <c r="R66" s="1" t="s">
        <v>82</v>
      </c>
    </row>
    <row r="67" spans="4:18" ht="12.75">
      <c r="D67" s="1" t="s">
        <v>150</v>
      </c>
      <c r="E67" s="1" t="s">
        <v>63</v>
      </c>
      <c r="H67" s="7"/>
      <c r="I67" s="7"/>
      <c r="J67" s="8">
        <f>J60/H20</f>
        <v>0.37157443750915753</v>
      </c>
      <c r="K67" s="7"/>
      <c r="L67" s="7"/>
      <c r="M67" s="1" t="s">
        <v>82</v>
      </c>
      <c r="N67" s="1" t="s">
        <v>9</v>
      </c>
      <c r="R67" s="1" t="s">
        <v>82</v>
      </c>
    </row>
    <row r="68" spans="3:18" ht="12.75">
      <c r="C68" s="15" t="s">
        <v>267</v>
      </c>
      <c r="H68" s="7"/>
      <c r="I68" s="7"/>
      <c r="J68" s="10">
        <f>J62/H20</f>
        <v>1.484229932014652</v>
      </c>
      <c r="K68" s="7"/>
      <c r="L68" s="7"/>
      <c r="M68" s="1" t="s">
        <v>82</v>
      </c>
      <c r="N68" s="1" t="s">
        <v>1</v>
      </c>
      <c r="R68" s="1" t="s">
        <v>82</v>
      </c>
    </row>
    <row r="69" spans="8:18" ht="12.75">
      <c r="H69" s="7"/>
      <c r="I69" s="7"/>
      <c r="J69" s="7"/>
      <c r="K69" s="7"/>
      <c r="L69" s="7"/>
      <c r="M69" s="1" t="s">
        <v>82</v>
      </c>
      <c r="N69" s="12">
        <f>J15</f>
        <v>1</v>
      </c>
      <c r="O69" s="1" t="s">
        <v>12</v>
      </c>
      <c r="R69" s="1" t="s">
        <v>82</v>
      </c>
    </row>
    <row r="70" spans="6:18" ht="12.75">
      <c r="F70" s="1" t="s">
        <v>77</v>
      </c>
      <c r="H70" s="7"/>
      <c r="I70" s="7"/>
      <c r="J70" s="7"/>
      <c r="K70" s="7"/>
      <c r="L70" s="7"/>
      <c r="M70" s="1" t="s">
        <v>82</v>
      </c>
      <c r="N70" s="12">
        <f>F20</f>
        <v>1800</v>
      </c>
      <c r="O70" s="1" t="s">
        <v>14</v>
      </c>
      <c r="P70" s="17">
        <f>F21</f>
        <v>1.9</v>
      </c>
      <c r="Q70" s="1" t="s">
        <v>13</v>
      </c>
      <c r="R70" s="1" t="s">
        <v>82</v>
      </c>
    </row>
    <row r="71" spans="8:18" ht="12.75">
      <c r="H71" s="7"/>
      <c r="I71" s="7"/>
      <c r="J71" s="7"/>
      <c r="K71" s="7"/>
      <c r="L71" s="7"/>
      <c r="M71" s="1" t="s">
        <v>82</v>
      </c>
      <c r="N71" s="12">
        <f>G20</f>
        <v>1600</v>
      </c>
      <c r="O71" s="1" t="s">
        <v>31</v>
      </c>
      <c r="P71" s="17">
        <f>G21</f>
        <v>1.7</v>
      </c>
      <c r="Q71" s="1" t="s">
        <v>30</v>
      </c>
      <c r="R71" s="1" t="s">
        <v>82</v>
      </c>
    </row>
    <row r="72" spans="3:16" ht="12.75">
      <c r="C72" s="1" t="s">
        <v>90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82</v>
      </c>
      <c r="N73" s="12">
        <f>H20</f>
        <v>1400</v>
      </c>
      <c r="O73" s="1" t="s">
        <v>24</v>
      </c>
      <c r="P73" s="17">
        <f>H21</f>
        <v>1.5</v>
      </c>
      <c r="Q73" s="1" t="s">
        <v>23</v>
      </c>
      <c r="R73" s="1" t="s">
        <v>82</v>
      </c>
    </row>
    <row r="74" spans="8:18" ht="12.75">
      <c r="H74" s="7"/>
      <c r="I74" s="7"/>
      <c r="J74" s="7"/>
      <c r="K74" s="7"/>
      <c r="L74" s="7"/>
      <c r="M74" s="1" t="s">
        <v>82</v>
      </c>
      <c r="N74" s="12">
        <f>I20</f>
        <v>1200</v>
      </c>
      <c r="O74" s="1" t="s">
        <v>34</v>
      </c>
      <c r="P74" s="17">
        <f>I21</f>
        <v>1.2</v>
      </c>
      <c r="Q74" s="1" t="s">
        <v>33</v>
      </c>
      <c r="R74" s="1" t="s">
        <v>82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82</v>
      </c>
      <c r="N75" s="12">
        <f>J20</f>
        <v>1000</v>
      </c>
      <c r="O75" s="1" t="s">
        <v>57</v>
      </c>
      <c r="P75" s="17">
        <f>J21</f>
        <v>1</v>
      </c>
      <c r="Q75" s="1" t="s">
        <v>56</v>
      </c>
      <c r="R75" s="1" t="s">
        <v>82</v>
      </c>
    </row>
    <row r="76" spans="8:18" ht="12.75">
      <c r="H76" s="7"/>
      <c r="I76" s="7"/>
      <c r="J76" s="7"/>
      <c r="K76" s="11" t="s">
        <v>0</v>
      </c>
      <c r="L76" s="7"/>
      <c r="M76" s="1" t="s">
        <v>82</v>
      </c>
      <c r="N76" s="17">
        <f>J66</f>
        <v>0.2872928571428572</v>
      </c>
      <c r="O76" s="1" t="s">
        <v>22</v>
      </c>
      <c r="R76" s="1" t="s">
        <v>82</v>
      </c>
    </row>
    <row r="77" spans="8:18" ht="12.75">
      <c r="H77" s="7"/>
      <c r="I77" s="7"/>
      <c r="J77" s="7"/>
      <c r="K77" s="7"/>
      <c r="L77" s="7"/>
      <c r="M77" s="1" t="s">
        <v>82</v>
      </c>
      <c r="N77" s="17">
        <f>J43+J60</f>
        <v>1675.7119048205127</v>
      </c>
      <c r="O77" s="1" t="s">
        <v>47</v>
      </c>
      <c r="R77" s="1" t="s">
        <v>82</v>
      </c>
    </row>
    <row r="78" spans="8:18" ht="12.75">
      <c r="H78" s="7"/>
      <c r="I78" s="7"/>
      <c r="J78" s="7"/>
      <c r="K78" s="7"/>
      <c r="L78" s="7"/>
      <c r="M78" s="1" t="s">
        <v>82</v>
      </c>
      <c r="N78" s="1" t="s">
        <v>82</v>
      </c>
      <c r="R78" s="1" t="s">
        <v>82</v>
      </c>
    </row>
    <row r="79" spans="8:18" ht="12.75">
      <c r="H79" s="7"/>
      <c r="I79" s="7"/>
      <c r="J79" s="7"/>
      <c r="K79" s="7"/>
      <c r="L79" s="7"/>
      <c r="M79" s="1" t="s">
        <v>89</v>
      </c>
      <c r="N79" s="1" t="s">
        <v>1</v>
      </c>
      <c r="R79" s="1" t="s">
        <v>89</v>
      </c>
    </row>
    <row r="80" spans="8:18" ht="12.75">
      <c r="H80" s="7"/>
      <c r="I80" s="7"/>
      <c r="J80" s="7"/>
      <c r="K80" s="7"/>
      <c r="L80" s="7"/>
      <c r="M80" s="1" t="s">
        <v>89</v>
      </c>
      <c r="O80" s="1" t="s">
        <v>124</v>
      </c>
      <c r="R80" s="1" t="s">
        <v>89</v>
      </c>
    </row>
    <row r="81" spans="8:18" ht="12.75">
      <c r="H81" s="18"/>
      <c r="I81" s="7"/>
      <c r="J81" s="7"/>
      <c r="K81" s="7"/>
      <c r="L81" s="7"/>
      <c r="M81" s="1" t="s">
        <v>89</v>
      </c>
      <c r="N81" s="1" t="s">
        <v>1</v>
      </c>
      <c r="R81" s="1" t="s">
        <v>89</v>
      </c>
    </row>
    <row r="82" spans="4:18" ht="12.75">
      <c r="D82" s="99" t="s">
        <v>144</v>
      </c>
      <c r="E82" s="98"/>
      <c r="F82" s="98"/>
      <c r="G82" s="98"/>
      <c r="H82" s="98"/>
      <c r="I82" s="98"/>
      <c r="J82" s="98"/>
      <c r="K82" s="7"/>
      <c r="L82" s="7"/>
      <c r="M82" s="1" t="s">
        <v>89</v>
      </c>
      <c r="N82" s="12">
        <f>0.04*N70+0.25*N71+0.42*N73+0.25*N74+0.04*N75</f>
        <v>1400</v>
      </c>
      <c r="O82" s="1" t="s">
        <v>20</v>
      </c>
      <c r="P82" s="1">
        <f>0.04*P70+0.25*P71+0.42*P73+0.25*P74+0.04*P75</f>
        <v>1.471</v>
      </c>
      <c r="Q82" s="1" t="s">
        <v>19</v>
      </c>
      <c r="R82" s="1" t="s">
        <v>89</v>
      </c>
    </row>
    <row r="83" spans="8:18" ht="12.75">
      <c r="H83" s="19" t="s">
        <v>0</v>
      </c>
      <c r="I83" s="19"/>
      <c r="J83" s="7"/>
      <c r="K83" s="7"/>
      <c r="L83" s="7"/>
      <c r="M83" s="1" t="s">
        <v>89</v>
      </c>
      <c r="N83" s="1">
        <f>0.25*(N70-N82)+0.5*(N71-N82)</f>
        <v>200</v>
      </c>
      <c r="O83" s="1" t="s">
        <v>45</v>
      </c>
      <c r="P83" s="1">
        <f>0.25*(P70-P82)+0.5*(P71-P82)</f>
        <v>0.2217499999999999</v>
      </c>
      <c r="Q83" s="1" t="s">
        <v>37</v>
      </c>
      <c r="R83" s="1" t="s">
        <v>89</v>
      </c>
    </row>
    <row r="84" spans="8:18" ht="12.75">
      <c r="H84" s="7"/>
      <c r="I84" s="7"/>
      <c r="J84" s="7"/>
      <c r="K84" s="7"/>
      <c r="L84" s="7"/>
      <c r="M84" s="1" t="s">
        <v>89</v>
      </c>
      <c r="N84" s="1">
        <f>0.25*(N82-N75)+0.5*(N82-N74)</f>
        <v>200</v>
      </c>
      <c r="O84" s="1" t="s">
        <v>46</v>
      </c>
      <c r="P84" s="1">
        <f>0.25*(P82-P75)+0.5*(P82-P74)</f>
        <v>0.2532500000000001</v>
      </c>
      <c r="Q84" s="1" t="s">
        <v>38</v>
      </c>
      <c r="R84" s="1" t="s">
        <v>89</v>
      </c>
    </row>
    <row r="85" spans="4:18" ht="12.75">
      <c r="D85" s="1" t="s">
        <v>0</v>
      </c>
      <c r="E85" s="1" t="s">
        <v>143</v>
      </c>
      <c r="G85" s="1" t="s">
        <v>294</v>
      </c>
      <c r="H85" s="7"/>
      <c r="I85" s="8" t="s">
        <v>143</v>
      </c>
      <c r="J85" s="8" t="s">
        <v>0</v>
      </c>
      <c r="K85" s="11" t="s">
        <v>263</v>
      </c>
      <c r="L85" s="7"/>
      <c r="M85" s="1" t="s">
        <v>89</v>
      </c>
      <c r="N85" s="12">
        <f>N83^2</f>
        <v>40000</v>
      </c>
      <c r="O85" s="1" t="s">
        <v>54</v>
      </c>
      <c r="P85" s="1">
        <f>P83^2</f>
        <v>0.049173062499999955</v>
      </c>
      <c r="Q85" s="1" t="s">
        <v>48</v>
      </c>
      <c r="R85" s="1" t="s">
        <v>89</v>
      </c>
    </row>
    <row r="86" spans="4:18" ht="12.75">
      <c r="D86" s="1" t="s">
        <v>102</v>
      </c>
      <c r="E86" s="1" t="s">
        <v>301</v>
      </c>
      <c r="G86" s="1" t="s">
        <v>202</v>
      </c>
      <c r="H86" s="7"/>
      <c r="I86" s="8" t="s">
        <v>232</v>
      </c>
      <c r="J86" s="8" t="s">
        <v>0</v>
      </c>
      <c r="K86" s="11" t="s">
        <v>246</v>
      </c>
      <c r="L86" s="7" t="s">
        <v>2</v>
      </c>
      <c r="M86" s="1" t="s">
        <v>89</v>
      </c>
      <c r="N86" s="12">
        <f>N84^2</f>
        <v>40000</v>
      </c>
      <c r="O86" s="1" t="s">
        <v>55</v>
      </c>
      <c r="P86" s="1">
        <f>P84^2</f>
        <v>0.06413556250000005</v>
      </c>
      <c r="Q86" s="1" t="s">
        <v>49</v>
      </c>
      <c r="R86" s="1" t="s">
        <v>89</v>
      </c>
    </row>
    <row r="87" spans="8:18" ht="12.75">
      <c r="H87" s="7"/>
      <c r="I87" s="7"/>
      <c r="J87" s="7"/>
      <c r="K87" s="7"/>
      <c r="L87" s="7"/>
      <c r="M87" s="1" t="s">
        <v>89</v>
      </c>
      <c r="N87" s="1" t="s">
        <v>1</v>
      </c>
      <c r="R87" s="1" t="s">
        <v>89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89</v>
      </c>
      <c r="N88" s="12">
        <f>(N82^2*P85)+(P82-N76)^2*N85</f>
        <v>152425.70650204073</v>
      </c>
      <c r="O88" s="12" t="s">
        <v>50</v>
      </c>
      <c r="P88" s="12">
        <f>(N82^2*P86)+(P82-N76)^2*N86</f>
        <v>181752.2065020409</v>
      </c>
      <c r="Q88" s="1" t="s">
        <v>53</v>
      </c>
      <c r="R88" s="1" t="s">
        <v>89</v>
      </c>
    </row>
    <row r="89" spans="8:18" ht="12.75">
      <c r="H89" s="7"/>
      <c r="I89" s="7"/>
      <c r="J89" s="7"/>
      <c r="K89" s="7"/>
      <c r="L89" s="7"/>
      <c r="M89" s="1" t="s">
        <v>89</v>
      </c>
      <c r="N89" s="12">
        <f>(N82^2*P85)+(P82-N76)^2*N86</f>
        <v>152425.70650204073</v>
      </c>
      <c r="O89" s="12" t="s">
        <v>51</v>
      </c>
      <c r="P89" s="12">
        <f>N82^2*P86+(P82-N76)^2*N85</f>
        <v>181752.2065020409</v>
      </c>
      <c r="Q89" s="1" t="s">
        <v>52</v>
      </c>
      <c r="R89" s="1" t="s">
        <v>89</v>
      </c>
    </row>
    <row r="90" spans="8:19" ht="12.75">
      <c r="H90" s="7"/>
      <c r="I90" s="7"/>
      <c r="J90" s="7"/>
      <c r="K90" s="7"/>
      <c r="L90" s="7"/>
      <c r="M90" s="1" t="s">
        <v>89</v>
      </c>
      <c r="N90" s="12">
        <f>SQRT(N88)</f>
        <v>390.4173491304411</v>
      </c>
      <c r="O90" s="12" t="s">
        <v>39</v>
      </c>
      <c r="P90" s="12">
        <f>SQRT(P88)</f>
        <v>426.32406277624176</v>
      </c>
      <c r="Q90" s="1" t="s">
        <v>42</v>
      </c>
      <c r="R90" s="1" t="s">
        <v>89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89</v>
      </c>
      <c r="N91" s="12">
        <f>SQRT(N89)</f>
        <v>390.4173491304411</v>
      </c>
      <c r="O91" s="12" t="s">
        <v>40</v>
      </c>
      <c r="P91" s="12">
        <f>SQRT(P89)</f>
        <v>426.32406277624176</v>
      </c>
      <c r="Q91" s="1" t="s">
        <v>41</v>
      </c>
      <c r="R91" s="1" t="s">
        <v>89</v>
      </c>
    </row>
    <row r="92" spans="3:18" ht="12.75">
      <c r="C92" s="1" t="s">
        <v>5</v>
      </c>
      <c r="H92" s="7"/>
      <c r="I92" s="7"/>
      <c r="J92" s="7"/>
      <c r="K92" s="7"/>
      <c r="L92" s="7"/>
      <c r="M92" s="1" t="s">
        <v>89</v>
      </c>
      <c r="N92" s="12">
        <f>0.66*N90+0.17*N91+0.17*P91</f>
        <v>396.5214904502272</v>
      </c>
      <c r="O92" s="12" t="s">
        <v>43</v>
      </c>
      <c r="P92" s="12">
        <f>0.66*P90+0.17*N91+0.17*P91</f>
        <v>420.21992145645567</v>
      </c>
      <c r="Q92" s="1" t="s">
        <v>44</v>
      </c>
      <c r="R92" s="1" t="s">
        <v>89</v>
      </c>
    </row>
    <row r="93" spans="8:18" ht="12.75">
      <c r="H93" s="7"/>
      <c r="I93" s="7"/>
      <c r="J93" s="7"/>
      <c r="K93" s="7"/>
      <c r="L93" s="7"/>
      <c r="M93" s="1" t="s">
        <v>89</v>
      </c>
      <c r="N93" s="1" t="s">
        <v>1</v>
      </c>
      <c r="R93" s="1" t="s">
        <v>89</v>
      </c>
    </row>
    <row r="94" spans="3:18" ht="12.75">
      <c r="C94" s="1" t="s">
        <v>206</v>
      </c>
      <c r="H94" s="7"/>
      <c r="I94" s="7"/>
      <c r="J94" s="7"/>
      <c r="K94" s="7"/>
      <c r="L94" s="7"/>
      <c r="M94" s="1" t="s">
        <v>89</v>
      </c>
      <c r="N94" s="1" t="s">
        <v>123</v>
      </c>
      <c r="R94" s="1" t="s">
        <v>89</v>
      </c>
    </row>
    <row r="95" spans="3:18" ht="12.75">
      <c r="C95" s="1" t="s">
        <v>257</v>
      </c>
      <c r="H95" s="7"/>
      <c r="I95" s="7"/>
      <c r="J95" s="7"/>
      <c r="K95" s="7"/>
      <c r="L95" s="7"/>
      <c r="M95" s="1" t="s">
        <v>89</v>
      </c>
      <c r="N95" s="1" t="s">
        <v>1</v>
      </c>
      <c r="R95" s="1" t="s">
        <v>89</v>
      </c>
    </row>
    <row r="96" spans="3:18" ht="12.75">
      <c r="C96" s="1" t="s">
        <v>256</v>
      </c>
      <c r="H96" s="7"/>
      <c r="I96" s="7"/>
      <c r="J96" s="7"/>
      <c r="K96" s="7"/>
      <c r="L96" s="7"/>
      <c r="M96" s="1" t="s">
        <v>89</v>
      </c>
      <c r="N96" s="12">
        <f>N90*N69</f>
        <v>390.4173491304411</v>
      </c>
      <c r="O96" s="1" t="s">
        <v>39</v>
      </c>
      <c r="P96" s="12">
        <f>P90*N69</f>
        <v>426.32406277624176</v>
      </c>
      <c r="Q96" s="1" t="s">
        <v>42</v>
      </c>
      <c r="R96" s="1" t="s">
        <v>89</v>
      </c>
    </row>
    <row r="97" spans="8:18" ht="12.75">
      <c r="H97" s="7"/>
      <c r="I97" s="7"/>
      <c r="J97" s="7"/>
      <c r="K97" s="7"/>
      <c r="L97" s="7" t="s">
        <v>0</v>
      </c>
      <c r="M97" s="1" t="s">
        <v>89</v>
      </c>
      <c r="N97" s="12">
        <f>N91*N69</f>
        <v>390.4173491304411</v>
      </c>
      <c r="O97" s="1" t="s">
        <v>40</v>
      </c>
      <c r="P97" s="12">
        <f>P91*N69</f>
        <v>426.32406277624176</v>
      </c>
      <c r="Q97" s="1" t="s">
        <v>41</v>
      </c>
      <c r="R97" s="1" t="s">
        <v>89</v>
      </c>
    </row>
    <row r="98" spans="6:18" ht="12.75">
      <c r="F98" s="1" t="s">
        <v>32</v>
      </c>
      <c r="H98" s="19" t="s">
        <v>21</v>
      </c>
      <c r="I98" s="7"/>
      <c r="J98" s="8" t="s">
        <v>35</v>
      </c>
      <c r="K98" s="7"/>
      <c r="L98" s="7"/>
      <c r="M98" s="1" t="s">
        <v>89</v>
      </c>
      <c r="N98" s="12">
        <f>N69*N92</f>
        <v>396.5214904502272</v>
      </c>
      <c r="O98" s="1" t="s">
        <v>43</v>
      </c>
      <c r="P98" s="12">
        <f>N69*P92</f>
        <v>420.21992145645567</v>
      </c>
      <c r="Q98" s="1" t="s">
        <v>44</v>
      </c>
      <c r="R98" s="1" t="s">
        <v>89</v>
      </c>
    </row>
    <row r="99" spans="5:18" ht="12.75">
      <c r="E99" s="7"/>
      <c r="K99" s="7"/>
      <c r="L99" s="7"/>
      <c r="M99" s="1" t="s">
        <v>89</v>
      </c>
      <c r="N99" s="17">
        <f>P73</f>
        <v>1.5</v>
      </c>
      <c r="O99" s="1" t="s">
        <v>26</v>
      </c>
      <c r="P99" s="1">
        <f>N73</f>
        <v>1400</v>
      </c>
      <c r="Q99" s="1" t="s">
        <v>29</v>
      </c>
      <c r="R99" s="1" t="s">
        <v>89</v>
      </c>
    </row>
    <row r="100" spans="3:18" ht="12.75">
      <c r="C100" s="1" t="s">
        <v>87</v>
      </c>
      <c r="E100" s="11">
        <f>P101+1.5*N98</f>
        <v>576.2603308548281</v>
      </c>
      <c r="F100" s="11">
        <f>(P101+N98)</f>
        <v>377.99958562971455</v>
      </c>
      <c r="G100" s="11">
        <f>P101+0.5*N98</f>
        <v>179.73884040460095</v>
      </c>
      <c r="H100" s="16">
        <f>P101</f>
        <v>-18.521904820512646</v>
      </c>
      <c r="I100" s="11">
        <f>P101-0.5*P98</f>
        <v>-228.63186554874048</v>
      </c>
      <c r="J100" s="11">
        <f>P101-P98</f>
        <v>-438.7418262769683</v>
      </c>
      <c r="K100" s="11">
        <f>P101-1.5*P98</f>
        <v>-648.8517870051961</v>
      </c>
      <c r="L100" s="7"/>
      <c r="M100" s="1" t="s">
        <v>89</v>
      </c>
      <c r="N100" s="12">
        <f>J15*N82*P82</f>
        <v>2059.4</v>
      </c>
      <c r="O100" s="1" t="s">
        <v>18</v>
      </c>
      <c r="P100" s="12">
        <f>(N77+N73*N76)*N69</f>
        <v>2077.9219048205127</v>
      </c>
      <c r="Q100" s="1" t="s">
        <v>27</v>
      </c>
      <c r="R100" s="1" t="s">
        <v>89</v>
      </c>
    </row>
    <row r="101" spans="3:18" ht="12.75">
      <c r="C101" s="1" t="s">
        <v>126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0.3237105665753768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0.8413664517563848</v>
      </c>
      <c r="K101" s="22">
        <f>IF(O109&lt;1,IF(N109,S109,1-S109),IF(N109,S110,1-S110))</f>
        <v>0.9304755283717454</v>
      </c>
      <c r="L101" s="7" t="s">
        <v>0</v>
      </c>
      <c r="M101" s="1" t="s">
        <v>89</v>
      </c>
      <c r="N101" s="12">
        <f>N100+(0.7857*(P98-N98))</f>
        <v>2078.019857241594</v>
      </c>
      <c r="O101" s="1" t="s">
        <v>28</v>
      </c>
      <c r="P101" s="12">
        <f>N100-P100</f>
        <v>-18.521904820512646</v>
      </c>
      <c r="Q101" s="1" t="s">
        <v>16</v>
      </c>
      <c r="R101" s="1" t="s">
        <v>89</v>
      </c>
    </row>
    <row r="102" spans="3:18" ht="12.75">
      <c r="C102" s="1" t="s">
        <v>126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0.15863354824361514</v>
      </c>
      <c r="K102" s="20">
        <f>IF(O109&lt;1,IF(N109,1-S109,S109),IF(N109,1-S110,S110))</f>
        <v>0.06952447162825465</v>
      </c>
      <c r="L102" s="7"/>
      <c r="M102" s="1" t="s">
        <v>89</v>
      </c>
      <c r="N102" s="12">
        <f>N101-P100</f>
        <v>0.09795242108111779</v>
      </c>
      <c r="O102" s="1" t="s">
        <v>25</v>
      </c>
      <c r="P102" s="1">
        <f>P101-N102</f>
        <v>-18.619857241593763</v>
      </c>
      <c r="Q102" s="1" t="s">
        <v>17</v>
      </c>
      <c r="R102" s="1" t="s">
        <v>89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89</v>
      </c>
      <c r="N103" s="1" t="s">
        <v>1</v>
      </c>
      <c r="R103" s="1" t="s">
        <v>89</v>
      </c>
    </row>
    <row r="104" spans="3:12" ht="12.75">
      <c r="C104" s="15" t="s">
        <v>127</v>
      </c>
      <c r="E104" s="7"/>
      <c r="F104" s="24">
        <f>IF(U109&lt;1,IF(T109,Y109,1-Y109),IF(T109,Y110,1-Y110))</f>
        <v>0.5000953907242409</v>
      </c>
      <c r="G104" s="7" t="s">
        <v>7</v>
      </c>
      <c r="H104" s="7"/>
      <c r="I104" s="7"/>
      <c r="J104" s="7"/>
      <c r="K104" s="16">
        <f>N69*(H20*H21-J62)</f>
        <v>22.078095179487264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</v>
      </c>
      <c r="V105" s="17">
        <f>MIN(2.5,ABS((F100-(N102+P102*ABS(F100-N102)/ABS(IF(T105,N98+P102,P98-P102))*MIN(1,U105)))/(MIN(1.52,U105)/1.52*IF(T105,N96,P96)+(1.52-MIN(1.52,U105))/3.04*N97+(1.52-MIN(1.52,U105))/3.04*P97)))</f>
        <v>0.9999046888021041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0.45734783368953374</v>
      </c>
      <c r="AC105" s="17">
        <f>1/(1+(0.2316419*AB105))</f>
        <v>0.9042074317623389</v>
      </c>
      <c r="AD105" s="17">
        <f>0.398942281*((2.71828)^((-(AB105^2)/2)))</f>
        <v>0.3593271651907049</v>
      </c>
      <c r="AE105" s="17">
        <f>AD105*(0.31938153*AC105-0.356563782*AC105^2+1.781477937*AC105^3-1.821255978*AC105^4+1.330274429*AC105^5)</f>
        <v>0.3237105665753768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0.9999046888021041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0.4926161205645263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1.0000899527572416</v>
      </c>
      <c r="AC107" s="17">
        <f>1/(1+(0.2316419*AB107))</f>
        <v>0.8119105742986973</v>
      </c>
      <c r="AD107" s="17">
        <f>0.398942281*((2.71828)^((-(AB107^2)/2)))</f>
        <v>0.241949040336843</v>
      </c>
      <c r="AE107" s="17">
        <f>AD107*(0.31938153*AC107-0.356563782*AC107^2+1.781477937*AC107^3-1.821255978*AC107^4+1.330274429*AC107^5)</f>
        <v>0.15863354824361514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1.0000899527572416</v>
      </c>
      <c r="AC108" s="17">
        <f>1/(1+(0.2316419*AB108))</f>
        <v>0.8119105742986973</v>
      </c>
      <c r="AD108" s="17">
        <f>0.398942281*((2.71828)^((-(AB108^2)/2)))</f>
        <v>0.241949040336843</v>
      </c>
      <c r="AE108" s="17">
        <f>AD108*(0.31938153*AC108-0.356563782*AC108^2+1.781477937*AC108^3-1.821255978*AC108^4+1.330274429*AC108^5)</f>
        <v>0.15863354824361514</v>
      </c>
    </row>
    <row r="109" spans="14:25" ht="12.75">
      <c r="N109" s="17" t="b">
        <f>+K100&gt;=N102</f>
        <v>0</v>
      </c>
      <c r="O109" s="17">
        <f>ABS((K100-P101)/IF(N109,N98,P98))</f>
        <v>1.5</v>
      </c>
      <c r="P109" s="17">
        <f>MIN(2.5,ABS((K100-(N102+P102*ABS(K100-N102)/ABS(IF(N109,N98+P102,P98-P102))*MIN(1,O109)))/(MIN(1.52,O109)/1.52*IF(N109,N96,P96)+(1.52-MIN(1.52,O109))/3.04*N97+(1.52-MIN(1.52,O109))/3.04*P97)))</f>
        <v>1.4584198872613838</v>
      </c>
      <c r="Q109" s="17">
        <f t="shared" si="1"/>
        <v>0.7474784820543513</v>
      </c>
      <c r="R109" s="17">
        <f t="shared" si="2"/>
        <v>0.1377338471186094</v>
      </c>
      <c r="S109" s="17">
        <f t="shared" si="3"/>
        <v>0.07236251167657361</v>
      </c>
      <c r="T109" s="17" t="b">
        <f>0&gt;=N102</f>
        <v>0</v>
      </c>
      <c r="U109" s="17">
        <f>ABS((0-P101)/IF(T109,N98,P98))</f>
        <v>0.044076693832878974</v>
      </c>
      <c r="V109" s="17">
        <f>MIN(2.5,ABS((0-(N102+P102*ABS(0-N102)/ABS(IF(T109,N98+P102,P98-P102))*MIN(1,U109)))/(MIN(1.52,U109)/1.52*IF(T109,N96,P96)+(1.52-MIN(1.52,U109))/3.04*N97+(1.52-MIN(1.52,U109))/3.04*P97)))</f>
        <v>0.0002391081216890354</v>
      </c>
      <c r="W109" s="17">
        <f t="shared" si="4"/>
        <v>0.9999446156079873</v>
      </c>
      <c r="X109" s="17">
        <f t="shared" si="5"/>
        <v>0.39894226959570533</v>
      </c>
      <c r="Y109" s="17">
        <f t="shared" si="6"/>
        <v>0.4999046092757591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1.479342593943658</v>
      </c>
      <c r="Q110" s="17">
        <f t="shared" si="1"/>
        <v>0.7447803581182947</v>
      </c>
      <c r="R110" s="17">
        <f t="shared" si="2"/>
        <v>0.13356526411862285</v>
      </c>
      <c r="S110" s="17">
        <f t="shared" si="3"/>
        <v>0.06952447162825465</v>
      </c>
      <c r="V110" s="17">
        <f>MIN(2.5,ABS((0-P101)/(MIN(1.52,U109)/1.52*IF(T109,N96,P96)+(1.52-MIN(1.52,U109))/3.04*N97+(1.52-MIN(1.52,U109))/3.04*P97)))</f>
        <v>0.04529786810085516</v>
      </c>
      <c r="W110" s="17">
        <f t="shared" si="4"/>
        <v>0.9896160731099084</v>
      </c>
      <c r="X110" s="17">
        <f t="shared" si="5"/>
        <v>0.3985331969548685</v>
      </c>
      <c r="Y110" s="17">
        <f t="shared" si="6"/>
        <v>0.48193487836888876</v>
      </c>
    </row>
    <row r="115" ht="12.75">
      <c r="B115" s="1" t="s">
        <v>90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H5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2" width="9.140625" style="1" customWidth="1"/>
    <col min="3" max="3" width="10.00390625" style="1" customWidth="1"/>
    <col min="4" max="4" width="11.28125" style="1" customWidth="1"/>
    <col min="5" max="5" width="9.57421875" style="1" customWidth="1"/>
    <col min="6" max="6" width="10.8515625" style="1" customWidth="1"/>
    <col min="7" max="8" width="9.8515625" style="1" customWidth="1"/>
    <col min="9" max="16384" width="9.140625" style="1" customWidth="1"/>
  </cols>
  <sheetData>
    <row r="2" ht="12.75">
      <c r="D2" s="60"/>
    </row>
    <row r="4" spans="3:7" ht="15.75">
      <c r="C4" s="97"/>
      <c r="D4" s="98"/>
      <c r="E4" s="98"/>
      <c r="F4" s="98"/>
      <c r="G4" s="98"/>
    </row>
    <row r="6" spans="3:7" ht="12.75">
      <c r="C6" s="99"/>
      <c r="D6" s="98"/>
      <c r="E6" s="98"/>
      <c r="F6" s="98"/>
      <c r="G6" s="98"/>
    </row>
    <row r="7" spans="3:7" ht="12.75">
      <c r="C7" s="99"/>
      <c r="D7" s="98"/>
      <c r="E7" s="98"/>
      <c r="F7" s="98"/>
      <c r="G7" s="98"/>
    </row>
    <row r="9" spans="3:7" ht="12.75">
      <c r="C9" s="99"/>
      <c r="D9" s="98"/>
      <c r="E9" s="98"/>
      <c r="F9" s="98"/>
      <c r="G9" s="98"/>
    </row>
    <row r="11" spans="5:6" ht="12.75">
      <c r="E11" s="9"/>
      <c r="F11" s="8"/>
    </row>
    <row r="12" spans="5:6" ht="12.75">
      <c r="E12" s="7"/>
      <c r="F12" s="7"/>
    </row>
    <row r="13" spans="5:6" ht="12.75">
      <c r="E13" s="7"/>
      <c r="F13" s="35"/>
    </row>
    <row r="14" spans="5:6" ht="12.75">
      <c r="E14" s="7"/>
      <c r="F14" s="7"/>
    </row>
    <row r="15" spans="5:6" ht="12.75">
      <c r="E15" s="7"/>
      <c r="F15" s="6"/>
    </row>
    <row r="17" ht="12.75">
      <c r="B17" s="15"/>
    </row>
    <row r="18" spans="4:8" ht="12.75">
      <c r="D18" s="7"/>
      <c r="E18" s="7"/>
      <c r="F18" s="7"/>
      <c r="G18" s="8"/>
      <c r="H18" s="8"/>
    </row>
    <row r="20" spans="4:8" ht="12.75">
      <c r="D20" s="6"/>
      <c r="E20" s="6"/>
      <c r="F20" s="6"/>
      <c r="G20" s="6"/>
      <c r="H20" s="6"/>
    </row>
    <row r="21" spans="4:8" ht="12.75">
      <c r="D21" s="6"/>
      <c r="E21" s="6"/>
      <c r="F21" s="6"/>
      <c r="G21" s="6"/>
      <c r="H21" s="6"/>
    </row>
    <row r="22" spans="4:8" ht="12.75">
      <c r="D22" s="6"/>
      <c r="E22" s="6"/>
      <c r="F22" s="6"/>
      <c r="G22" s="6"/>
      <c r="H22" s="6"/>
    </row>
    <row r="23" spans="4:8" ht="12.75">
      <c r="D23" s="6"/>
      <c r="E23" s="6"/>
      <c r="F23" s="6"/>
      <c r="G23" s="6"/>
      <c r="H23" s="6"/>
    </row>
    <row r="24" spans="4:8" ht="12.75">
      <c r="D24" s="6"/>
      <c r="E24" s="6"/>
      <c r="F24" s="6"/>
      <c r="G24" s="6"/>
      <c r="H24" s="6"/>
    </row>
    <row r="25" spans="4:8" ht="12.75">
      <c r="D25" s="6"/>
      <c r="E25" s="6"/>
      <c r="F25" s="6"/>
      <c r="G25" s="6"/>
      <c r="H25" s="6"/>
    </row>
    <row r="26" spans="4:8" ht="12.75">
      <c r="D26" s="6"/>
      <c r="E26" s="6"/>
      <c r="F26" s="6"/>
      <c r="G26" s="6"/>
      <c r="H26" s="6"/>
    </row>
    <row r="27" spans="2:8" ht="12.75">
      <c r="B27" s="15"/>
      <c r="D27" s="9"/>
      <c r="E27" s="7"/>
      <c r="F27" s="6"/>
      <c r="G27" s="6"/>
      <c r="H27" s="6"/>
    </row>
    <row r="28" spans="4:8" ht="12.75">
      <c r="D28" s="7"/>
      <c r="E28" s="7"/>
      <c r="F28" s="7"/>
      <c r="G28" s="7"/>
      <c r="H28" s="7"/>
    </row>
    <row r="29" spans="2:8" ht="12.75">
      <c r="B29" s="15"/>
      <c r="D29" s="7"/>
      <c r="E29" s="7"/>
      <c r="F29" s="7"/>
      <c r="G29" s="7"/>
      <c r="H29" s="9"/>
    </row>
    <row r="30" spans="4:8" ht="12.75">
      <c r="D30" s="7"/>
      <c r="E30" s="7"/>
      <c r="F30" s="7"/>
      <c r="G30" s="7"/>
      <c r="H30" s="7"/>
    </row>
    <row r="31" spans="2:8" ht="12.75">
      <c r="B31" s="15"/>
      <c r="D31" s="7"/>
      <c r="E31" s="7"/>
      <c r="F31" s="7"/>
      <c r="G31" s="7"/>
      <c r="H31" s="10"/>
    </row>
    <row r="32" spans="4:8" ht="12.75">
      <c r="D32" s="7"/>
      <c r="E32" s="7"/>
      <c r="F32" s="7"/>
      <c r="G32" s="7"/>
      <c r="H32" s="7"/>
    </row>
    <row r="33" spans="4:8" ht="12.75">
      <c r="D33" s="7"/>
      <c r="E33" s="7"/>
      <c r="F33" s="7"/>
      <c r="G33" s="7"/>
      <c r="H33" s="7"/>
    </row>
    <row r="34" spans="2:8" ht="12.75">
      <c r="B34" s="15"/>
      <c r="D34" s="7"/>
      <c r="E34" s="7"/>
      <c r="F34" s="7"/>
      <c r="G34" s="7"/>
      <c r="H34" s="7"/>
    </row>
    <row r="35" spans="4:8" ht="12.75">
      <c r="D35" s="7"/>
      <c r="E35" s="7"/>
      <c r="F35" s="7"/>
      <c r="G35" s="7"/>
      <c r="H35" s="7"/>
    </row>
    <row r="36" spans="4:8" ht="12.75">
      <c r="D36" s="7"/>
      <c r="E36" s="7"/>
      <c r="F36" s="7"/>
      <c r="G36" s="7"/>
      <c r="H36" s="7"/>
    </row>
    <row r="37" spans="4:8" ht="12.75">
      <c r="D37" s="7"/>
      <c r="E37" s="7"/>
      <c r="F37" s="6"/>
      <c r="G37" s="7"/>
      <c r="H37" s="7"/>
    </row>
    <row r="38" spans="4:8" ht="12.75">
      <c r="D38" s="7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4:8" ht="12.75">
      <c r="D41" s="7"/>
      <c r="E41" s="7"/>
      <c r="F41" s="7"/>
      <c r="G41" s="7"/>
      <c r="H41" s="7"/>
    </row>
    <row r="42" spans="4:8" ht="12.75">
      <c r="D42" s="7"/>
      <c r="E42" s="7"/>
      <c r="F42" s="6"/>
      <c r="G42" s="7"/>
      <c r="H42" s="7"/>
    </row>
    <row r="43" spans="4:8" ht="12.75">
      <c r="D43" s="7"/>
      <c r="E43" s="7"/>
      <c r="F43" s="7"/>
      <c r="G43" s="7"/>
      <c r="H43" s="8"/>
    </row>
    <row r="44" spans="2:8" ht="12.75">
      <c r="B44" s="15"/>
      <c r="D44" s="7"/>
      <c r="E44" s="7"/>
      <c r="F44" s="7"/>
      <c r="G44" s="7"/>
      <c r="H44" s="10"/>
    </row>
    <row r="45" spans="4:8" ht="12.75">
      <c r="D45" s="7"/>
      <c r="E45" s="7"/>
      <c r="F45" s="7"/>
      <c r="G45" s="7"/>
      <c r="H45" s="7"/>
    </row>
    <row r="46" spans="2:8" ht="12.75">
      <c r="B46" s="15"/>
      <c r="D46" s="7"/>
      <c r="E46" s="7"/>
      <c r="F46" s="7"/>
      <c r="G46" s="7"/>
      <c r="H46" s="10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52" ht="12.75">
      <c r="A52" s="1" t="s">
        <v>90</v>
      </c>
    </row>
  </sheetData>
  <sheetProtection/>
  <mergeCells count="4">
    <mergeCell ref="C4:G4"/>
    <mergeCell ref="C6:G6"/>
    <mergeCell ref="C7:G7"/>
    <mergeCell ref="C9:G9"/>
  </mergeCells>
  <printOptions/>
  <pageMargins left="0.75" right="0.75" top="1" bottom="1" header="0.5" footer="0.5"/>
  <pageSetup horizontalDpi="600" verticalDpi="600" orientation="portrait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.75">
      <c r="D4" s="97" t="s">
        <v>217</v>
      </c>
      <c r="E4" s="102"/>
      <c r="F4" s="102"/>
    </row>
    <row r="6" ht="12.75">
      <c r="C6" s="15" t="s">
        <v>258</v>
      </c>
    </row>
    <row r="8" spans="2:8" ht="12.75">
      <c r="B8" s="7"/>
      <c r="C8" s="7"/>
      <c r="D8" s="7"/>
      <c r="E8" s="7"/>
      <c r="F8" s="7" t="s">
        <v>245</v>
      </c>
      <c r="G8" s="7"/>
      <c r="H8" s="7" t="s">
        <v>245</v>
      </c>
    </row>
    <row r="9" spans="2:8" ht="12.75">
      <c r="B9" s="7" t="s">
        <v>299</v>
      </c>
      <c r="C9" s="7" t="s">
        <v>300</v>
      </c>
      <c r="D9" s="7" t="s">
        <v>231</v>
      </c>
      <c r="E9" s="7" t="s">
        <v>291</v>
      </c>
      <c r="F9" s="7" t="s">
        <v>291</v>
      </c>
      <c r="G9" s="7" t="s">
        <v>268</v>
      </c>
      <c r="H9" s="7" t="s">
        <v>268</v>
      </c>
    </row>
    <row r="11" spans="2:8" ht="12.75">
      <c r="B11" s="7">
        <v>1</v>
      </c>
      <c r="C11" s="7">
        <v>0</v>
      </c>
      <c r="D11" s="14">
        <v>2.5</v>
      </c>
      <c r="E11" s="8">
        <f>Yr1!H34</f>
        <v>1538.5820594481518</v>
      </c>
      <c r="F11" s="8">
        <f aca="true" t="shared" si="0" ref="F11:F25">(C11*D11)-E11</f>
        <v>-1538.5820594481518</v>
      </c>
      <c r="G11" s="8">
        <f>Yr1!H34</f>
        <v>1538.5820594481518</v>
      </c>
      <c r="H11" s="8">
        <f aca="true" t="shared" si="1" ref="H11:H25">(C11*D11)-G11</f>
        <v>-1538.5820594481518</v>
      </c>
    </row>
    <row r="12" spans="2:8" ht="12.75">
      <c r="B12" s="7">
        <v>2</v>
      </c>
      <c r="C12" s="7">
        <v>0</v>
      </c>
      <c r="D12" s="14">
        <v>2.35</v>
      </c>
      <c r="E12" s="8">
        <f>+Yr2!H35</f>
        <v>1439.5677242566667</v>
      </c>
      <c r="F12" s="8">
        <f t="shared" si="0"/>
        <v>-1439.5677242566667</v>
      </c>
      <c r="G12" s="8">
        <f>Yr2!H35</f>
        <v>1439.5677242566667</v>
      </c>
      <c r="H12" s="8">
        <f t="shared" si="1"/>
        <v>-1439.5677242566667</v>
      </c>
    </row>
    <row r="13" spans="2:8" ht="12.75">
      <c r="B13" s="7">
        <v>3</v>
      </c>
      <c r="C13" s="7">
        <v>0</v>
      </c>
      <c r="D13" s="14">
        <v>2.35</v>
      </c>
      <c r="E13" s="8">
        <f>Yr2!H$35</f>
        <v>1439.5677242566667</v>
      </c>
      <c r="F13" s="8">
        <f t="shared" si="0"/>
        <v>-1439.5677242566667</v>
      </c>
      <c r="G13" s="8">
        <f>Yr2!H35</f>
        <v>1439.5677242566667</v>
      </c>
      <c r="H13" s="8">
        <f t="shared" si="1"/>
        <v>-1439.5677242566667</v>
      </c>
    </row>
    <row r="14" spans="2:8" ht="12.75">
      <c r="B14" s="7">
        <v>4</v>
      </c>
      <c r="C14" s="7">
        <v>0</v>
      </c>
      <c r="D14" s="14">
        <v>2.5</v>
      </c>
      <c r="E14" s="8">
        <f>Yr2!H$35</f>
        <v>1439.5677242566667</v>
      </c>
      <c r="F14" s="8">
        <f t="shared" si="0"/>
        <v>-1439.5677242566667</v>
      </c>
      <c r="G14" s="8">
        <f>Yr2!H35</f>
        <v>1439.5677242566667</v>
      </c>
      <c r="H14" s="8">
        <f t="shared" si="1"/>
        <v>-1439.5677242566667</v>
      </c>
    </row>
    <row r="15" spans="2:8" ht="12.75">
      <c r="B15" s="7">
        <v>5</v>
      </c>
      <c r="C15" s="7">
        <v>0</v>
      </c>
      <c r="D15" s="14">
        <v>2.5</v>
      </c>
      <c r="E15" s="8">
        <f>Yr3!H$35</f>
        <v>1333.6513442566666</v>
      </c>
      <c r="F15" s="8">
        <f t="shared" si="0"/>
        <v>-1333.6513442566666</v>
      </c>
      <c r="G15" s="8">
        <f>Yr3!H35</f>
        <v>1333.6513442566666</v>
      </c>
      <c r="H15" s="8">
        <f t="shared" si="1"/>
        <v>-1333.6513442566666</v>
      </c>
    </row>
    <row r="16" spans="2:8" ht="12.75">
      <c r="B16" s="7">
        <v>6</v>
      </c>
      <c r="C16" s="7">
        <v>0</v>
      </c>
      <c r="D16" s="14">
        <v>2.35</v>
      </c>
      <c r="E16" s="8">
        <f>Yr3!H$35</f>
        <v>1333.6513442566666</v>
      </c>
      <c r="F16" s="8">
        <f t="shared" si="0"/>
        <v>-1333.6513442566666</v>
      </c>
      <c r="G16" s="8">
        <f>Yr3!H35</f>
        <v>1333.6513442566666</v>
      </c>
      <c r="H16" s="8">
        <f t="shared" si="1"/>
        <v>-1333.6513442566666</v>
      </c>
    </row>
    <row r="17" spans="2:8" ht="12.75">
      <c r="B17" s="7">
        <v>7</v>
      </c>
      <c r="C17" s="7">
        <v>0</v>
      </c>
      <c r="D17" s="14">
        <v>2.35</v>
      </c>
      <c r="E17" s="8">
        <f>Yr3!H$35</f>
        <v>1333.6513442566666</v>
      </c>
      <c r="F17" s="8">
        <f t="shared" si="0"/>
        <v>-1333.6513442566666</v>
      </c>
      <c r="G17" s="8">
        <f>Yr3!H35</f>
        <v>1333.6513442566666</v>
      </c>
      <c r="H17" s="8">
        <f t="shared" si="1"/>
        <v>-1333.6513442566666</v>
      </c>
    </row>
    <row r="18" spans="2:8" ht="12.75">
      <c r="B18" s="7">
        <v>8</v>
      </c>
      <c r="C18" s="7">
        <v>800</v>
      </c>
      <c r="D18" s="14">
        <v>2.5</v>
      </c>
      <c r="E18" s="8">
        <f>Bud!I$52</f>
        <v>1438.44364</v>
      </c>
      <c r="F18" s="8">
        <f t="shared" si="0"/>
        <v>561.55636</v>
      </c>
      <c r="G18" s="8">
        <f>Yr3!H35+(C18*0.13)</f>
        <v>1437.6513442566666</v>
      </c>
      <c r="H18" s="8">
        <f t="shared" si="1"/>
        <v>562.3486557433334</v>
      </c>
    </row>
    <row r="19" spans="2:8" ht="12.75">
      <c r="B19" s="7">
        <v>9</v>
      </c>
      <c r="C19" s="7">
        <v>800</v>
      </c>
      <c r="D19" s="14">
        <v>2.5</v>
      </c>
      <c r="E19" s="8">
        <f>Bud!I$52</f>
        <v>1438.44364</v>
      </c>
      <c r="F19" s="8">
        <f t="shared" si="0"/>
        <v>561.55636</v>
      </c>
      <c r="G19" s="8">
        <f>Yr3!H35+(C19*0.13)</f>
        <v>1437.6513442566666</v>
      </c>
      <c r="H19" s="8">
        <f t="shared" si="1"/>
        <v>562.3486557433334</v>
      </c>
    </row>
    <row r="20" spans="2:9" ht="12.75">
      <c r="B20" s="7">
        <v>10</v>
      </c>
      <c r="C20" s="7">
        <v>900</v>
      </c>
      <c r="D20" s="14">
        <v>2.65</v>
      </c>
      <c r="E20" s="8">
        <f>Bud!I$52</f>
        <v>1438.44364</v>
      </c>
      <c r="F20" s="8">
        <f t="shared" si="0"/>
        <v>946.55636</v>
      </c>
      <c r="G20" s="8">
        <f>Bud!I42+Bud!I58+(C20*0.13)</f>
        <v>1645.885678</v>
      </c>
      <c r="H20" s="8">
        <f t="shared" si="1"/>
        <v>739.1143219999999</v>
      </c>
      <c r="I20" s="15" t="s">
        <v>84</v>
      </c>
    </row>
    <row r="21" spans="2:8" ht="12.75">
      <c r="B21" s="7">
        <v>11</v>
      </c>
      <c r="C21" s="7">
        <v>1000</v>
      </c>
      <c r="D21" s="14">
        <v>2.65</v>
      </c>
      <c r="E21" s="8">
        <f>Bud!I$52</f>
        <v>1438.44364</v>
      </c>
      <c r="F21" s="8">
        <f t="shared" si="0"/>
        <v>1211.55636</v>
      </c>
      <c r="G21" s="8">
        <f>Bud!I42+Bud!I58+(C21*0.13)</f>
        <v>1658.885678</v>
      </c>
      <c r="H21" s="8">
        <f t="shared" si="1"/>
        <v>991.1143219999999</v>
      </c>
    </row>
    <row r="22" spans="2:8" ht="12.75">
      <c r="B22" s="7">
        <v>12</v>
      </c>
      <c r="C22" s="7">
        <v>1000</v>
      </c>
      <c r="D22" s="14">
        <v>2.35</v>
      </c>
      <c r="E22" s="8">
        <f>Bud!I$52</f>
        <v>1438.44364</v>
      </c>
      <c r="F22" s="8">
        <f t="shared" si="0"/>
        <v>911.55636</v>
      </c>
      <c r="G22" s="8">
        <f>Bud!I42+Bud!I58+(C22*0.13)</f>
        <v>1658.885678</v>
      </c>
      <c r="H22" s="8">
        <f t="shared" si="1"/>
        <v>691.1143219999999</v>
      </c>
    </row>
    <row r="23" spans="2:8" ht="12.75">
      <c r="B23" s="7">
        <v>13</v>
      </c>
      <c r="C23" s="7">
        <v>1000</v>
      </c>
      <c r="D23" s="14">
        <v>2.35</v>
      </c>
      <c r="E23" s="8">
        <f>Bud!I$52</f>
        <v>1438.44364</v>
      </c>
      <c r="F23" s="8">
        <f t="shared" si="0"/>
        <v>911.55636</v>
      </c>
      <c r="G23" s="8">
        <f>Bud!I42+Bud!I58+(C23*0.13)</f>
        <v>1658.885678</v>
      </c>
      <c r="H23" s="8">
        <f t="shared" si="1"/>
        <v>691.1143219999999</v>
      </c>
    </row>
    <row r="24" spans="2:8" ht="12.75">
      <c r="B24" s="7">
        <v>14</v>
      </c>
      <c r="C24" s="7">
        <v>1000</v>
      </c>
      <c r="D24" s="14">
        <v>2.35</v>
      </c>
      <c r="E24" s="8">
        <f>Bud!I$52</f>
        <v>1438.44364</v>
      </c>
      <c r="F24" s="8">
        <f t="shared" si="0"/>
        <v>911.55636</v>
      </c>
      <c r="G24" s="8">
        <f>Bud!I42+Bud!I58+(C24*0.13)</f>
        <v>1658.885678</v>
      </c>
      <c r="H24" s="8">
        <f t="shared" si="1"/>
        <v>691.1143219999999</v>
      </c>
    </row>
    <row r="25" spans="2:8" ht="12.75">
      <c r="B25" s="7">
        <v>15</v>
      </c>
      <c r="C25" s="7">
        <v>1000</v>
      </c>
      <c r="D25" s="14">
        <v>2.35</v>
      </c>
      <c r="E25" s="8">
        <f>Bud!I$52</f>
        <v>1438.44364</v>
      </c>
      <c r="F25" s="8">
        <f t="shared" si="0"/>
        <v>911.55636</v>
      </c>
      <c r="G25" s="8">
        <f>Bud!I42+Bud!I58+(C25*0.13)</f>
        <v>1658.885678</v>
      </c>
      <c r="H25" s="8">
        <f t="shared" si="1"/>
        <v>691.1143219999999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84</v>
      </c>
      <c r="D27" s="7" t="s">
        <v>259</v>
      </c>
      <c r="E27" s="7"/>
      <c r="F27" s="7"/>
      <c r="G27" s="7"/>
      <c r="H27" s="7"/>
    </row>
    <row r="28" spans="2:8" ht="12.75">
      <c r="B28" s="7"/>
      <c r="C28" s="7"/>
      <c r="D28" s="7" t="s">
        <v>172</v>
      </c>
      <c r="E28" s="7"/>
      <c r="F28" s="7"/>
      <c r="G28" s="7"/>
      <c r="H28" s="7"/>
    </row>
    <row r="30" ht="12.75">
      <c r="C30" s="1" t="s">
        <v>90</v>
      </c>
    </row>
    <row r="31" ht="12.75">
      <c r="B31" s="1" t="s">
        <v>90</v>
      </c>
    </row>
  </sheetData>
  <sheetProtection/>
  <mergeCells count="1">
    <mergeCell ref="D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F19"/>
  <sheetViews>
    <sheetView showGridLines="0" showRowColHeaders="0" zoomScalePageLayoutView="0" workbookViewId="0" topLeftCell="A1">
      <selection activeCell="J23" sqref="J23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4" width="9.140625" style="1" customWidth="1"/>
    <col min="5" max="5" width="10.57421875" style="1" customWidth="1"/>
    <col min="6" max="16384" width="9.140625" style="1" customWidth="1"/>
  </cols>
  <sheetData>
    <row r="4" spans="2:6" ht="12.75">
      <c r="B4" s="36"/>
      <c r="C4" s="36"/>
      <c r="D4" s="36"/>
      <c r="E4" s="36"/>
      <c r="F4" s="36"/>
    </row>
    <row r="5" spans="2:6" ht="12.75">
      <c r="B5" s="37" t="s">
        <v>295</v>
      </c>
      <c r="C5" s="38"/>
      <c r="D5" s="37"/>
      <c r="E5" s="36"/>
      <c r="F5" s="36"/>
    </row>
    <row r="6" spans="2:6" ht="12.75">
      <c r="B6" s="37" t="s">
        <v>376</v>
      </c>
      <c r="C6" s="38"/>
      <c r="D6" s="38"/>
      <c r="E6" s="36"/>
      <c r="F6" s="36"/>
    </row>
    <row r="7" spans="2:6" ht="12.75">
      <c r="B7" s="39"/>
      <c r="C7" s="37"/>
      <c r="D7" s="37"/>
      <c r="E7" s="36"/>
      <c r="F7" s="36"/>
    </row>
    <row r="8" spans="2:6" ht="12.75">
      <c r="B8" s="39"/>
      <c r="C8" s="40" t="s">
        <v>119</v>
      </c>
      <c r="D8" s="41" t="s">
        <v>120</v>
      </c>
      <c r="E8" s="42" t="s">
        <v>212</v>
      </c>
      <c r="F8" s="36"/>
    </row>
    <row r="9" spans="2:6" ht="12.75">
      <c r="B9" s="39"/>
      <c r="C9" s="40" t="s">
        <v>71</v>
      </c>
      <c r="D9" s="41" t="s">
        <v>188</v>
      </c>
      <c r="E9" s="42"/>
      <c r="F9" s="36"/>
    </row>
    <row r="10" spans="2:6" ht="12.75">
      <c r="B10" s="39"/>
      <c r="C10" s="37"/>
      <c r="D10" s="37"/>
      <c r="E10" s="36"/>
      <c r="F10" s="36"/>
    </row>
    <row r="11" spans="2:6" ht="12.75">
      <c r="B11" s="39"/>
      <c r="C11" s="40" t="s">
        <v>263</v>
      </c>
      <c r="D11" s="43" t="s">
        <v>3</v>
      </c>
      <c r="E11" s="44" t="s">
        <v>122</v>
      </c>
      <c r="F11" s="36"/>
    </row>
    <row r="12" spans="2:6" ht="12.75">
      <c r="B12" s="39"/>
      <c r="C12" s="40" t="s">
        <v>129</v>
      </c>
      <c r="D12" s="45"/>
      <c r="E12" s="40" t="s">
        <v>234</v>
      </c>
      <c r="F12" s="36"/>
    </row>
    <row r="13" spans="2:6" ht="12.75">
      <c r="B13" s="39"/>
      <c r="C13" s="37"/>
      <c r="D13" s="37"/>
      <c r="E13" s="36"/>
      <c r="F13" s="36"/>
    </row>
    <row r="14" spans="2:6" ht="12.75">
      <c r="B14" s="39"/>
      <c r="C14" s="40" t="s">
        <v>125</v>
      </c>
      <c r="D14" s="45"/>
      <c r="E14" s="44" t="s">
        <v>122</v>
      </c>
      <c r="F14" s="36"/>
    </row>
    <row r="15" spans="2:6" ht="12.75">
      <c r="B15" s="39"/>
      <c r="C15" s="40" t="s">
        <v>152</v>
      </c>
      <c r="D15" s="45"/>
      <c r="E15" s="40" t="s">
        <v>234</v>
      </c>
      <c r="F15" s="36"/>
    </row>
    <row r="16" spans="2:6" ht="12.75">
      <c r="B16" s="39"/>
      <c r="C16" s="37"/>
      <c r="D16" s="37"/>
      <c r="E16" s="36"/>
      <c r="F16" s="36"/>
    </row>
    <row r="17" spans="2:6" ht="12.75">
      <c r="B17" s="39"/>
      <c r="C17" s="40" t="s">
        <v>72</v>
      </c>
      <c r="D17" s="45"/>
      <c r="E17" s="44" t="s">
        <v>122</v>
      </c>
      <c r="F17" s="36"/>
    </row>
    <row r="18" spans="2:6" ht="12.75">
      <c r="B18" s="39"/>
      <c r="C18" s="40" t="s">
        <v>129</v>
      </c>
      <c r="D18" s="45"/>
      <c r="E18" s="40" t="s">
        <v>234</v>
      </c>
      <c r="F18" s="36"/>
    </row>
    <row r="19" spans="2:6" ht="12.75">
      <c r="B19" s="39"/>
      <c r="C19" s="39"/>
      <c r="D19" s="39"/>
      <c r="E19" s="39"/>
      <c r="F19" s="3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46" t="s">
        <v>236</v>
      </c>
      <c r="B1" s="1" t="s">
        <v>91</v>
      </c>
      <c r="C1" s="15"/>
      <c r="D1" s="46" t="s">
        <v>236</v>
      </c>
      <c r="E1" s="1" t="s">
        <v>91</v>
      </c>
      <c r="F1" s="15"/>
      <c r="G1" s="46" t="s">
        <v>236</v>
      </c>
      <c r="H1" s="1" t="s">
        <v>91</v>
      </c>
    </row>
    <row r="2" spans="1:8" ht="12.75">
      <c r="A2" s="7" t="s">
        <v>99</v>
      </c>
      <c r="B2" s="1" t="s">
        <v>95</v>
      </c>
      <c r="C2" s="15"/>
      <c r="D2" s="7" t="s">
        <v>99</v>
      </c>
      <c r="E2" s="1" t="s">
        <v>92</v>
      </c>
      <c r="F2" s="15"/>
      <c r="G2" s="7" t="s">
        <v>99</v>
      </c>
      <c r="H2" s="1" t="s">
        <v>98</v>
      </c>
    </row>
    <row r="3" spans="1:8" ht="12.75">
      <c r="A3" s="7" t="s">
        <v>99</v>
      </c>
      <c r="B3" s="1" t="s">
        <v>93</v>
      </c>
      <c r="D3" s="7" t="s">
        <v>99</v>
      </c>
      <c r="E3" s="1" t="s">
        <v>94</v>
      </c>
      <c r="G3" s="7" t="s">
        <v>99</v>
      </c>
      <c r="H3" s="1" t="s">
        <v>93</v>
      </c>
    </row>
    <row r="4" spans="1:8" ht="12.75">
      <c r="A4" s="7" t="s">
        <v>99</v>
      </c>
      <c r="B4" s="1" t="s">
        <v>96</v>
      </c>
      <c r="D4" s="7" t="s">
        <v>99</v>
      </c>
      <c r="E4" s="1" t="s">
        <v>97</v>
      </c>
      <c r="G4" s="7" t="s">
        <v>99</v>
      </c>
      <c r="H4" s="1" t="s">
        <v>96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3:AQ140"/>
  <sheetViews>
    <sheetView zoomScale="102" zoomScaleNormal="102" zoomScalePageLayoutView="0" workbookViewId="0" topLeftCell="A1">
      <selection activeCell="G109" sqref="G109"/>
    </sheetView>
  </sheetViews>
  <sheetFormatPr defaultColWidth="9.140625" defaultRowHeight="12.75"/>
  <cols>
    <col min="1" max="1" width="2.140625" style="1" customWidth="1"/>
    <col min="2" max="2" width="8.28125" style="1" customWidth="1"/>
    <col min="3" max="4" width="8.421875" style="1" customWidth="1"/>
    <col min="5" max="5" width="10.57421875" style="1" customWidth="1"/>
    <col min="6" max="6" width="10.421875" style="1" customWidth="1"/>
    <col min="7" max="7" width="9.140625" style="1" customWidth="1"/>
    <col min="8" max="8" width="9.00390625" style="1" customWidth="1"/>
    <col min="9" max="9" width="9.7109375" style="1" customWidth="1"/>
    <col min="10" max="10" width="9.421875" style="1" customWidth="1"/>
    <col min="11" max="11" width="7.28125" style="1" customWidth="1"/>
    <col min="12" max="12" width="11.7109375" style="1" customWidth="1"/>
    <col min="13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3" spans="4:10" ht="12.75">
      <c r="D3" s="2"/>
      <c r="E3" s="3" t="s">
        <v>349</v>
      </c>
      <c r="F3" s="2"/>
      <c r="G3" s="2"/>
      <c r="H3" s="2"/>
      <c r="I3" s="2"/>
      <c r="J3" s="2"/>
    </row>
    <row r="4" spans="1:11" ht="12.75">
      <c r="A4" s="1" t="s">
        <v>4</v>
      </c>
      <c r="D4" s="2" t="s">
        <v>348</v>
      </c>
      <c r="E4" s="2"/>
      <c r="F4" s="2"/>
      <c r="G4" s="2"/>
      <c r="H4" s="2"/>
      <c r="I4" s="2"/>
      <c r="J4" s="2"/>
      <c r="K4" s="1" t="s">
        <v>0</v>
      </c>
    </row>
    <row r="5" spans="4:11" ht="12.75">
      <c r="D5" s="2" t="s">
        <v>284</v>
      </c>
      <c r="E5" s="2"/>
      <c r="F5" s="2"/>
      <c r="G5" s="2"/>
      <c r="H5" s="2"/>
      <c r="I5" s="2"/>
      <c r="J5" s="4" t="s">
        <v>0</v>
      </c>
      <c r="K5" s="1" t="s">
        <v>0</v>
      </c>
    </row>
    <row r="6" spans="4:11" ht="12.75">
      <c r="D6" s="2"/>
      <c r="E6" s="2"/>
      <c r="F6" s="2"/>
      <c r="G6" s="2"/>
      <c r="H6" s="2"/>
      <c r="I6" s="2"/>
      <c r="J6" s="2"/>
      <c r="K6" s="1" t="s">
        <v>0</v>
      </c>
    </row>
    <row r="7" spans="4:11" ht="12.75">
      <c r="D7" s="2">
        <v>2018</v>
      </c>
      <c r="E7" s="2"/>
      <c r="F7" s="2"/>
      <c r="G7" s="2"/>
      <c r="H7" s="2"/>
      <c r="I7" s="2"/>
      <c r="J7" s="2"/>
      <c r="K7" s="1" t="s">
        <v>0</v>
      </c>
    </row>
    <row r="8" ht="12.75">
      <c r="K8" s="1" t="s">
        <v>0</v>
      </c>
    </row>
    <row r="9" spans="10:11" ht="12.75">
      <c r="J9" s="11" t="s">
        <v>0</v>
      </c>
      <c r="K9" s="1" t="s">
        <v>0</v>
      </c>
    </row>
    <row r="10" spans="1:4" ht="20.25">
      <c r="A10" s="1" t="s">
        <v>90</v>
      </c>
      <c r="D10" s="96" t="s">
        <v>374</v>
      </c>
    </row>
    <row r="11" spans="6:11" ht="12.75">
      <c r="F11" s="15"/>
      <c r="K11" s="1" t="s">
        <v>0</v>
      </c>
    </row>
    <row r="12" spans="5:11" ht="15.75">
      <c r="E12" s="97" t="s">
        <v>350</v>
      </c>
      <c r="F12" s="99"/>
      <c r="G12" s="99"/>
      <c r="K12" s="1" t="s">
        <v>0</v>
      </c>
    </row>
    <row r="14" spans="5:11" ht="12.75">
      <c r="E14" s="1" t="s">
        <v>292</v>
      </c>
      <c r="K14" s="1" t="s">
        <v>0</v>
      </c>
    </row>
    <row r="15" spans="5:11" ht="12.75">
      <c r="E15" s="1" t="s">
        <v>8</v>
      </c>
      <c r="I15" s="6">
        <v>1</v>
      </c>
      <c r="K15" s="1" t="s">
        <v>2</v>
      </c>
    </row>
    <row r="16" spans="4:11" ht="12.75">
      <c r="D16" s="1" t="s">
        <v>185</v>
      </c>
      <c r="I16" s="6">
        <v>1</v>
      </c>
      <c r="K16" s="1" t="s">
        <v>0</v>
      </c>
    </row>
    <row r="17" ht="12.75">
      <c r="K17" s="1" t="s">
        <v>0</v>
      </c>
    </row>
    <row r="18" spans="2:11" ht="12.75">
      <c r="B18" s="15"/>
      <c r="C18" s="15"/>
      <c r="D18" s="15"/>
      <c r="E18" s="19" t="s">
        <v>116</v>
      </c>
      <c r="F18" s="19" t="s">
        <v>213</v>
      </c>
      <c r="G18" s="19" t="s">
        <v>203</v>
      </c>
      <c r="H18" s="10" t="s">
        <v>221</v>
      </c>
      <c r="I18" s="10" t="s">
        <v>297</v>
      </c>
      <c r="J18" s="5" t="s">
        <v>0</v>
      </c>
      <c r="K18" s="1" t="s">
        <v>0</v>
      </c>
    </row>
    <row r="19" spans="5:11" ht="12.75">
      <c r="E19" s="7"/>
      <c r="F19" s="7"/>
      <c r="G19" s="7"/>
      <c r="H19" s="7"/>
      <c r="I19" s="7"/>
      <c r="K19" s="1" t="s">
        <v>0</v>
      </c>
    </row>
    <row r="20" spans="2:11" ht="12.75">
      <c r="B20" s="1" t="s">
        <v>88</v>
      </c>
      <c r="E20" s="6">
        <v>1200</v>
      </c>
      <c r="F20" s="6">
        <v>1000</v>
      </c>
      <c r="G20" s="9">
        <v>800</v>
      </c>
      <c r="H20" s="6">
        <v>600</v>
      </c>
      <c r="I20" s="6">
        <v>400</v>
      </c>
      <c r="K20" s="1" t="s">
        <v>0</v>
      </c>
    </row>
    <row r="21" spans="2:11" ht="12.75">
      <c r="B21" s="1" t="s">
        <v>86</v>
      </c>
      <c r="E21" s="8">
        <v>2.8</v>
      </c>
      <c r="F21" s="8">
        <v>2.65</v>
      </c>
      <c r="G21" s="10">
        <v>2.5</v>
      </c>
      <c r="H21" s="8">
        <v>2.35</v>
      </c>
      <c r="I21" s="8">
        <v>2.2</v>
      </c>
      <c r="K21" s="1" t="s">
        <v>0</v>
      </c>
    </row>
    <row r="22" spans="11:19" ht="12.75">
      <c r="K22" s="1" t="s">
        <v>0</v>
      </c>
      <c r="S22" s="1" t="s">
        <v>0</v>
      </c>
    </row>
    <row r="23" spans="2:11" ht="12.75">
      <c r="B23" s="15"/>
      <c r="C23" s="19" t="s">
        <v>347</v>
      </c>
      <c r="D23" s="15"/>
      <c r="E23" s="15"/>
      <c r="F23" s="19" t="s">
        <v>286</v>
      </c>
      <c r="G23" s="19" t="s">
        <v>237</v>
      </c>
      <c r="H23" s="10" t="s">
        <v>231</v>
      </c>
      <c r="I23" s="9" t="s">
        <v>74</v>
      </c>
      <c r="J23" s="16" t="s">
        <v>262</v>
      </c>
      <c r="K23" s="1" t="s">
        <v>0</v>
      </c>
    </row>
    <row r="24" ht="12.75">
      <c r="K24" s="1" t="s">
        <v>0</v>
      </c>
    </row>
    <row r="25" ht="12.75">
      <c r="I25" s="12" t="s">
        <v>0</v>
      </c>
    </row>
    <row r="26" spans="3:11" ht="12.75">
      <c r="C26" s="1" t="s">
        <v>198</v>
      </c>
      <c r="F26" s="7" t="s">
        <v>261</v>
      </c>
      <c r="G26" s="7">
        <v>0.5</v>
      </c>
      <c r="H26" s="8">
        <v>30</v>
      </c>
      <c r="I26" s="8">
        <f aca="true" t="shared" si="0" ref="I26:I40">G26*H26</f>
        <v>15</v>
      </c>
      <c r="J26" s="6">
        <f>I26*I15</f>
        <v>15</v>
      </c>
      <c r="K26" s="7"/>
    </row>
    <row r="27" spans="3:11" ht="12.75">
      <c r="C27" s="1" t="s">
        <v>205</v>
      </c>
      <c r="F27" s="7" t="s">
        <v>194</v>
      </c>
      <c r="G27" s="7">
        <v>150</v>
      </c>
      <c r="H27" s="13">
        <v>0.51</v>
      </c>
      <c r="I27" s="8">
        <f t="shared" si="0"/>
        <v>76.5</v>
      </c>
      <c r="J27" s="6">
        <f>I27*I15</f>
        <v>76.5</v>
      </c>
      <c r="K27" s="7" t="s">
        <v>0</v>
      </c>
    </row>
    <row r="28" spans="3:11" ht="12.75">
      <c r="C28" s="1" t="s">
        <v>222</v>
      </c>
      <c r="F28" s="7" t="s">
        <v>194</v>
      </c>
      <c r="G28" s="7">
        <v>40</v>
      </c>
      <c r="H28" s="13">
        <v>0.51</v>
      </c>
      <c r="I28" s="8">
        <f t="shared" si="0"/>
        <v>20.4</v>
      </c>
      <c r="J28" s="6">
        <f>I28*I$16</f>
        <v>20.4</v>
      </c>
      <c r="K28" s="7"/>
    </row>
    <row r="29" spans="3:11" ht="12.75">
      <c r="C29" s="1" t="s">
        <v>225</v>
      </c>
      <c r="F29" s="7" t="s">
        <v>194</v>
      </c>
      <c r="G29" s="7">
        <v>60</v>
      </c>
      <c r="H29" s="13">
        <v>0.51</v>
      </c>
      <c r="I29" s="8">
        <f t="shared" si="0"/>
        <v>30.6</v>
      </c>
      <c r="J29" s="6">
        <f>I29*I$16</f>
        <v>30.6</v>
      </c>
      <c r="K29" s="7"/>
    </row>
    <row r="30" spans="3:11" ht="12.75">
      <c r="C30" s="1" t="s">
        <v>306</v>
      </c>
      <c r="F30" s="7" t="s">
        <v>194</v>
      </c>
      <c r="G30" s="7">
        <v>0</v>
      </c>
      <c r="H30" s="13">
        <v>0.5</v>
      </c>
      <c r="I30" s="8">
        <f t="shared" si="0"/>
        <v>0</v>
      </c>
      <c r="J30" s="6">
        <f>I30*I$16</f>
        <v>0</v>
      </c>
      <c r="K30" s="7"/>
    </row>
    <row r="31" spans="3:11" ht="12.75">
      <c r="C31" s="1" t="s">
        <v>155</v>
      </c>
      <c r="F31" s="7" t="s">
        <v>110</v>
      </c>
      <c r="G31" s="7">
        <v>4</v>
      </c>
      <c r="H31" s="8">
        <v>2</v>
      </c>
      <c r="I31" s="8">
        <f t="shared" si="0"/>
        <v>8</v>
      </c>
      <c r="J31" s="6">
        <f>I31*I$16</f>
        <v>8</v>
      </c>
      <c r="K31" s="7"/>
    </row>
    <row r="32" spans="3:11" ht="12.75">
      <c r="C32" s="1" t="s">
        <v>154</v>
      </c>
      <c r="F32" s="7" t="s">
        <v>110</v>
      </c>
      <c r="G32" s="7">
        <v>3</v>
      </c>
      <c r="H32" s="8">
        <v>1.5</v>
      </c>
      <c r="I32" s="8">
        <f t="shared" si="0"/>
        <v>4.5</v>
      </c>
      <c r="J32" s="6">
        <f>I32*I$16</f>
        <v>4.5</v>
      </c>
      <c r="K32" s="7"/>
    </row>
    <row r="33" spans="3:11" ht="12.75">
      <c r="C33" s="1" t="s">
        <v>159</v>
      </c>
      <c r="F33" s="7" t="s">
        <v>110</v>
      </c>
      <c r="G33" s="7">
        <v>10</v>
      </c>
      <c r="H33" s="8">
        <v>15</v>
      </c>
      <c r="I33" s="8">
        <f t="shared" si="0"/>
        <v>150</v>
      </c>
      <c r="J33" s="6">
        <f>I33*I15</f>
        <v>150</v>
      </c>
      <c r="K33" s="7"/>
    </row>
    <row r="34" spans="3:11" ht="12.75">
      <c r="C34" s="1" t="s">
        <v>168</v>
      </c>
      <c r="F34" s="7" t="s">
        <v>110</v>
      </c>
      <c r="G34" s="7">
        <v>4</v>
      </c>
      <c r="H34" s="8">
        <v>25</v>
      </c>
      <c r="I34" s="8">
        <f t="shared" si="0"/>
        <v>100</v>
      </c>
      <c r="J34" s="6">
        <f>I34*I$16</f>
        <v>100</v>
      </c>
      <c r="K34" s="7"/>
    </row>
    <row r="35" spans="3:11" ht="12.75">
      <c r="C35" s="1" t="s">
        <v>307</v>
      </c>
      <c r="F35" s="7" t="s">
        <v>110</v>
      </c>
      <c r="G35" s="7">
        <v>4</v>
      </c>
      <c r="H35" s="8">
        <v>28</v>
      </c>
      <c r="I35" s="8">
        <f t="shared" si="0"/>
        <v>112</v>
      </c>
      <c r="J35" s="6">
        <f>I35*I$16</f>
        <v>112</v>
      </c>
      <c r="K35" s="7"/>
    </row>
    <row r="36" spans="3:11" ht="12.75">
      <c r="C36" s="1" t="s">
        <v>189</v>
      </c>
      <c r="F36" s="7" t="s">
        <v>170</v>
      </c>
      <c r="G36" s="8">
        <v>25</v>
      </c>
      <c r="H36" s="8">
        <v>10</v>
      </c>
      <c r="I36" s="8">
        <f t="shared" si="0"/>
        <v>250</v>
      </c>
      <c r="J36" s="6">
        <f>I36*I$16</f>
        <v>250</v>
      </c>
      <c r="K36" s="7"/>
    </row>
    <row r="37" spans="3:11" ht="12.75">
      <c r="C37" s="1" t="s">
        <v>309</v>
      </c>
      <c r="F37" s="7" t="s">
        <v>160</v>
      </c>
      <c r="G37" s="8">
        <v>62</v>
      </c>
      <c r="H37" s="8">
        <v>2.5</v>
      </c>
      <c r="I37" s="8">
        <f t="shared" si="0"/>
        <v>155</v>
      </c>
      <c r="J37" s="6">
        <f>I37*I15</f>
        <v>155</v>
      </c>
      <c r="K37" s="7"/>
    </row>
    <row r="38" spans="3:11" ht="12.75">
      <c r="C38" s="1" t="s">
        <v>64</v>
      </c>
      <c r="F38" s="7" t="s">
        <v>100</v>
      </c>
      <c r="G38" s="7">
        <v>1</v>
      </c>
      <c r="H38" s="8">
        <v>80</v>
      </c>
      <c r="I38" s="8">
        <f t="shared" si="0"/>
        <v>80</v>
      </c>
      <c r="J38" s="6">
        <f>I38*I15</f>
        <v>80</v>
      </c>
      <c r="K38" s="7"/>
    </row>
    <row r="39" spans="3:11" ht="12.75">
      <c r="C39" s="51" t="s">
        <v>345</v>
      </c>
      <c r="F39" s="7" t="s">
        <v>100</v>
      </c>
      <c r="G39" s="7">
        <v>1</v>
      </c>
      <c r="H39" s="8">
        <v>82.5</v>
      </c>
      <c r="I39" s="8">
        <f t="shared" si="0"/>
        <v>82.5</v>
      </c>
      <c r="J39" s="6">
        <f>I39*I15</f>
        <v>82.5</v>
      </c>
      <c r="K39" s="7"/>
    </row>
    <row r="40" spans="3:11" ht="12.75">
      <c r="C40" s="1" t="s">
        <v>310</v>
      </c>
      <c r="F40" s="7" t="s">
        <v>100</v>
      </c>
      <c r="G40" s="7">
        <v>1</v>
      </c>
      <c r="H40" s="8">
        <f>Drip!I45</f>
        <v>32.943639999999995</v>
      </c>
      <c r="I40" s="8">
        <f t="shared" si="0"/>
        <v>32.943639999999995</v>
      </c>
      <c r="J40" s="6">
        <f>I40*I15</f>
        <v>32.943639999999995</v>
      </c>
      <c r="K40" s="14" t="s">
        <v>0</v>
      </c>
    </row>
    <row r="41" spans="3:11" ht="12.75">
      <c r="C41" s="1" t="s">
        <v>181</v>
      </c>
      <c r="F41" s="7" t="s">
        <v>73</v>
      </c>
      <c r="G41" s="8">
        <f>SUM(I26:I39)</f>
        <v>1084.5</v>
      </c>
      <c r="H41" s="8">
        <v>0.065</v>
      </c>
      <c r="I41" s="8">
        <f>G41*H41/2</f>
        <v>35.24625</v>
      </c>
      <c r="J41" s="6">
        <f>I41*I15</f>
        <v>35.24625</v>
      </c>
      <c r="K41" s="7" t="s">
        <v>0</v>
      </c>
    </row>
    <row r="42" spans="2:11" ht="13.5" thickBot="1">
      <c r="B42" s="15" t="s">
        <v>229</v>
      </c>
      <c r="F42" s="7"/>
      <c r="G42" s="7"/>
      <c r="H42" s="7"/>
      <c r="I42" s="68">
        <f>SUM(I25:I40)</f>
        <v>1117.44364</v>
      </c>
      <c r="J42" s="69">
        <f>I42*I15</f>
        <v>1117.44364</v>
      </c>
      <c r="K42" s="14" t="s">
        <v>0</v>
      </c>
    </row>
    <row r="43" spans="9:11" ht="13.5" thickTop="1">
      <c r="I43" s="67"/>
      <c r="J43" s="67"/>
      <c r="K43" s="14" t="s">
        <v>0</v>
      </c>
    </row>
    <row r="44" spans="2:11" ht="12.75">
      <c r="B44" s="47" t="s">
        <v>165</v>
      </c>
      <c r="C44" s="51"/>
      <c r="D44" s="51"/>
      <c r="E44" s="51"/>
      <c r="F44" s="65" t="s">
        <v>286</v>
      </c>
      <c r="G44" s="65" t="s">
        <v>237</v>
      </c>
      <c r="H44" s="65" t="s">
        <v>231</v>
      </c>
      <c r="I44" s="66" t="s">
        <v>74</v>
      </c>
      <c r="J44" s="65" t="s">
        <v>262</v>
      </c>
      <c r="K44" s="14" t="s">
        <v>0</v>
      </c>
    </row>
    <row r="45" spans="2:11" ht="12.75">
      <c r="B45" s="51"/>
      <c r="C45" s="51" t="s">
        <v>346</v>
      </c>
      <c r="D45" s="51"/>
      <c r="E45" s="51"/>
      <c r="F45" s="56" t="s">
        <v>100</v>
      </c>
      <c r="G45" s="57">
        <v>1</v>
      </c>
      <c r="H45" s="57">
        <v>74</v>
      </c>
      <c r="I45" s="57">
        <f>G45*H45</f>
        <v>74</v>
      </c>
      <c r="J45" s="58">
        <f>I45*I15</f>
        <v>74</v>
      </c>
      <c r="K45" s="14" t="s">
        <v>0</v>
      </c>
    </row>
    <row r="46" spans="2:11" ht="12.75">
      <c r="B46" s="51"/>
      <c r="C46" s="51" t="s">
        <v>128</v>
      </c>
      <c r="D46" s="51"/>
      <c r="E46" s="51"/>
      <c r="F46" s="56" t="s">
        <v>100</v>
      </c>
      <c r="G46" s="56">
        <v>1</v>
      </c>
      <c r="H46" s="57">
        <v>77</v>
      </c>
      <c r="I46" s="57">
        <f>H46*G46</f>
        <v>77</v>
      </c>
      <c r="J46" s="58">
        <f>I46*I15</f>
        <v>77</v>
      </c>
      <c r="K46" s="14" t="s">
        <v>0</v>
      </c>
    </row>
    <row r="47" spans="2:11" ht="12.75">
      <c r="B47" s="51"/>
      <c r="C47" s="51" t="s">
        <v>189</v>
      </c>
      <c r="D47" s="51"/>
      <c r="E47" s="51"/>
      <c r="F47" s="56" t="s">
        <v>170</v>
      </c>
      <c r="G47" s="57">
        <v>4</v>
      </c>
      <c r="H47" s="57">
        <f>H36</f>
        <v>10</v>
      </c>
      <c r="I47" s="57">
        <f>G47*H47</f>
        <v>40</v>
      </c>
      <c r="J47" s="58">
        <f>I47*I15</f>
        <v>40</v>
      </c>
      <c r="K47" s="14" t="s">
        <v>0</v>
      </c>
    </row>
    <row r="48" spans="2:11" ht="12.75">
      <c r="B48" s="51"/>
      <c r="C48" s="51" t="s">
        <v>118</v>
      </c>
      <c r="D48" s="51"/>
      <c r="E48" s="51"/>
      <c r="F48" s="56" t="s">
        <v>194</v>
      </c>
      <c r="G48" s="56">
        <f>MEDY</f>
        <v>800</v>
      </c>
      <c r="H48" s="57">
        <v>0.12</v>
      </c>
      <c r="I48" s="57">
        <f>G48*H48</f>
        <v>96</v>
      </c>
      <c r="J48" s="58">
        <f>I48*I15</f>
        <v>96</v>
      </c>
      <c r="K48" s="7"/>
    </row>
    <row r="49" spans="2:11" ht="12.75">
      <c r="B49" s="51"/>
      <c r="C49" s="51" t="s">
        <v>320</v>
      </c>
      <c r="D49" s="51"/>
      <c r="E49" s="51"/>
      <c r="F49" s="56" t="s">
        <v>194</v>
      </c>
      <c r="G49" s="56">
        <f>MEDY</f>
        <v>800</v>
      </c>
      <c r="H49" s="57">
        <v>0.03</v>
      </c>
      <c r="I49" s="57">
        <f>G49*H49</f>
        <v>24</v>
      </c>
      <c r="J49" s="58">
        <f>I49*I16</f>
        <v>24</v>
      </c>
      <c r="K49" s="7"/>
    </row>
    <row r="50" spans="2:11" ht="12.75">
      <c r="B50" s="51"/>
      <c r="C50" s="51" t="s">
        <v>319</v>
      </c>
      <c r="D50" s="51"/>
      <c r="E50" s="51"/>
      <c r="F50" s="56" t="s">
        <v>194</v>
      </c>
      <c r="G50" s="56">
        <v>1000</v>
      </c>
      <c r="H50" s="56">
        <v>0.01</v>
      </c>
      <c r="I50" s="56">
        <f>G50*H50</f>
        <v>10</v>
      </c>
      <c r="J50" s="58">
        <f>I50*I16</f>
        <v>10</v>
      </c>
      <c r="K50" s="14" t="s">
        <v>0</v>
      </c>
    </row>
    <row r="51" spans="2:11" ht="13.5" thickBot="1">
      <c r="B51" s="47" t="s">
        <v>272</v>
      </c>
      <c r="C51" s="51"/>
      <c r="D51" s="51"/>
      <c r="E51" s="51"/>
      <c r="F51" s="52"/>
      <c r="G51" s="52"/>
      <c r="H51" s="51"/>
      <c r="I51" s="73">
        <f>SUM(I45:I50)</f>
        <v>321</v>
      </c>
      <c r="J51" s="74">
        <f>SUM(J45:J50)</f>
        <v>321</v>
      </c>
      <c r="K51" s="14" t="s">
        <v>0</v>
      </c>
    </row>
    <row r="52" spans="2:11" ht="13.5" thickBot="1">
      <c r="B52" s="15" t="s">
        <v>279</v>
      </c>
      <c r="F52" s="7"/>
      <c r="G52" s="7"/>
      <c r="H52" s="7"/>
      <c r="I52" s="71">
        <f>I42+I51</f>
        <v>1438.44364</v>
      </c>
      <c r="J52" s="72">
        <f>I52*I15</f>
        <v>1438.44364</v>
      </c>
      <c r="K52" s="7"/>
    </row>
    <row r="53" spans="6:11" ht="13.5" thickTop="1">
      <c r="F53" s="7"/>
      <c r="G53" s="7"/>
      <c r="H53" s="7"/>
      <c r="I53" s="70"/>
      <c r="J53" s="70"/>
      <c r="K53" s="14" t="s">
        <v>0</v>
      </c>
    </row>
    <row r="54" spans="2:40" ht="12.75">
      <c r="B54" s="15" t="s">
        <v>148</v>
      </c>
      <c r="C54" s="15"/>
      <c r="F54" s="65" t="s">
        <v>286</v>
      </c>
      <c r="G54" s="65" t="s">
        <v>237</v>
      </c>
      <c r="H54" s="65" t="s">
        <v>231</v>
      </c>
      <c r="I54" s="66" t="s">
        <v>74</v>
      </c>
      <c r="J54" s="65" t="s">
        <v>262</v>
      </c>
      <c r="K54" s="7"/>
      <c r="AN54" s="1" t="s">
        <v>129</v>
      </c>
    </row>
    <row r="55" spans="3:11" ht="12.75">
      <c r="C55" s="1" t="s">
        <v>280</v>
      </c>
      <c r="F55" s="7" t="s">
        <v>170</v>
      </c>
      <c r="G55" s="8">
        <v>1</v>
      </c>
      <c r="H55" s="8">
        <f>FxdCost!I35</f>
        <v>210.881852</v>
      </c>
      <c r="I55" s="8">
        <f>G55*H55</f>
        <v>210.881852</v>
      </c>
      <c r="J55" s="11">
        <f>I15*I55</f>
        <v>210.881852</v>
      </c>
      <c r="K55" s="14" t="s">
        <v>0</v>
      </c>
    </row>
    <row r="56" spans="3:11" ht="12.75">
      <c r="C56" s="1" t="s">
        <v>184</v>
      </c>
      <c r="F56" s="7" t="s">
        <v>100</v>
      </c>
      <c r="G56" s="8">
        <v>1</v>
      </c>
      <c r="H56" s="8">
        <f>+Drip!I45</f>
        <v>32.943639999999995</v>
      </c>
      <c r="I56" s="8">
        <f>G56*H56</f>
        <v>32.943639999999995</v>
      </c>
      <c r="J56" s="11">
        <f>I15*I56</f>
        <v>32.943639999999995</v>
      </c>
      <c r="K56" s="7"/>
    </row>
    <row r="57" spans="3:11" ht="12.75">
      <c r="C57" s="1" t="s">
        <v>216</v>
      </c>
      <c r="F57" s="7" t="s">
        <v>73</v>
      </c>
      <c r="G57" s="6">
        <f>I42</f>
        <v>1117.44364</v>
      </c>
      <c r="H57" s="8">
        <v>0.15</v>
      </c>
      <c r="I57" s="8">
        <f>G57*H57</f>
        <v>167.616546</v>
      </c>
      <c r="J57" s="11">
        <f>I15*I57</f>
        <v>167.616546</v>
      </c>
      <c r="K57" s="7"/>
    </row>
    <row r="58" spans="2:11" ht="13.5" thickBot="1">
      <c r="B58" s="15" t="s">
        <v>269</v>
      </c>
      <c r="F58" s="7"/>
      <c r="G58" s="7"/>
      <c r="H58" s="7"/>
      <c r="I58" s="68">
        <f>SUM(I55:I57)</f>
        <v>411.442038</v>
      </c>
      <c r="J58" s="76">
        <f>I15*I58</f>
        <v>411.442038</v>
      </c>
      <c r="K58" s="7"/>
    </row>
    <row r="59" spans="7:11" ht="13.5" thickTop="1">
      <c r="G59" s="7"/>
      <c r="H59" s="7"/>
      <c r="I59" s="75" t="s">
        <v>0</v>
      </c>
      <c r="J59" s="70"/>
      <c r="K59" s="7"/>
    </row>
    <row r="60" spans="2:11" ht="13.5" thickBot="1">
      <c r="B60" s="15" t="s">
        <v>266</v>
      </c>
      <c r="G60" s="7"/>
      <c r="H60" s="7"/>
      <c r="I60" s="68">
        <f>I42+I51+I58</f>
        <v>1849.885678</v>
      </c>
      <c r="J60" s="69">
        <f>I15*I60</f>
        <v>1849.885678</v>
      </c>
      <c r="K60" s="7"/>
    </row>
    <row r="61" spans="7:11" ht="13.5" thickTop="1">
      <c r="G61" s="7"/>
      <c r="H61" s="7"/>
      <c r="I61" s="70"/>
      <c r="J61" s="70"/>
      <c r="K61" s="7"/>
    </row>
    <row r="62" spans="3:11" ht="12.75">
      <c r="C62" s="15" t="s">
        <v>117</v>
      </c>
      <c r="G62" s="7"/>
      <c r="H62" s="7"/>
      <c r="I62" s="7"/>
      <c r="J62" s="7"/>
      <c r="K62" s="7"/>
    </row>
    <row r="63" spans="3:11" ht="12.75">
      <c r="C63" s="1" t="s">
        <v>115</v>
      </c>
      <c r="G63" s="7"/>
      <c r="H63" s="7"/>
      <c r="I63" s="8">
        <f>I42/G20</f>
        <v>1.39680455</v>
      </c>
      <c r="J63" s="7"/>
      <c r="K63" s="7"/>
    </row>
    <row r="64" spans="3:17" ht="12.75">
      <c r="C64" s="1" t="s">
        <v>114</v>
      </c>
      <c r="G64" s="7"/>
      <c r="H64" s="7"/>
      <c r="I64" s="8">
        <f>I51/G20</f>
        <v>0.40125</v>
      </c>
      <c r="J64" s="7"/>
      <c r="K64" s="7"/>
      <c r="L64" s="1" t="s">
        <v>82</v>
      </c>
      <c r="M64" s="1" t="s">
        <v>82</v>
      </c>
      <c r="Q64" s="1" t="s">
        <v>82</v>
      </c>
    </row>
    <row r="65" spans="3:17" ht="12.75">
      <c r="C65" s="1" t="s">
        <v>113</v>
      </c>
      <c r="D65" s="1" t="s">
        <v>63</v>
      </c>
      <c r="G65" s="7"/>
      <c r="H65" s="7"/>
      <c r="I65" s="8">
        <f>I58/G20</f>
        <v>0.5143025475</v>
      </c>
      <c r="J65" s="7"/>
      <c r="K65" s="7"/>
      <c r="L65" s="1" t="s">
        <v>82</v>
      </c>
      <c r="M65" s="1" t="s">
        <v>9</v>
      </c>
      <c r="Q65" s="1" t="s">
        <v>82</v>
      </c>
    </row>
    <row r="66" spans="2:17" ht="12.75">
      <c r="B66" s="15"/>
      <c r="C66" s="1" t="s">
        <v>308</v>
      </c>
      <c r="G66" s="7"/>
      <c r="H66" s="7"/>
      <c r="I66" s="10">
        <f>UNITCOST/MEDP</f>
        <v>739.9542712</v>
      </c>
      <c r="J66" s="7"/>
      <c r="K66" s="7"/>
      <c r="L66" s="1" t="s">
        <v>82</v>
      </c>
      <c r="M66" s="1" t="s">
        <v>1</v>
      </c>
      <c r="Q66" s="1" t="s">
        <v>82</v>
      </c>
    </row>
    <row r="67" spans="7:17" ht="12.75">
      <c r="G67" s="7"/>
      <c r="H67" s="7"/>
      <c r="I67" s="26"/>
      <c r="J67" s="7"/>
      <c r="K67" s="7"/>
      <c r="L67" s="1" t="s">
        <v>82</v>
      </c>
      <c r="M67" s="12">
        <f>I15</f>
        <v>1</v>
      </c>
      <c r="N67" s="1" t="s">
        <v>12</v>
      </c>
      <c r="Q67" s="1" t="s">
        <v>82</v>
      </c>
    </row>
    <row r="68" spans="5:17" ht="12.75">
      <c r="E68" s="1" t="s">
        <v>77</v>
      </c>
      <c r="G68" s="7"/>
      <c r="H68" s="7"/>
      <c r="I68" s="7"/>
      <c r="J68" s="7"/>
      <c r="K68" s="7"/>
      <c r="L68" s="1" t="s">
        <v>82</v>
      </c>
      <c r="M68" s="12">
        <f>E20</f>
        <v>1200</v>
      </c>
      <c r="N68" s="1" t="s">
        <v>14</v>
      </c>
      <c r="O68" s="17">
        <f>E21</f>
        <v>2.8</v>
      </c>
      <c r="P68" s="1" t="s">
        <v>13</v>
      </c>
      <c r="Q68" s="1" t="s">
        <v>82</v>
      </c>
    </row>
    <row r="69" spans="7:17" ht="12.75">
      <c r="G69" s="7"/>
      <c r="H69" s="7"/>
      <c r="I69" s="7"/>
      <c r="J69" s="7"/>
      <c r="K69" s="7"/>
      <c r="L69" s="1" t="s">
        <v>82</v>
      </c>
      <c r="M69" s="12">
        <f>F20</f>
        <v>1000</v>
      </c>
      <c r="N69" s="1" t="s">
        <v>31</v>
      </c>
      <c r="O69" s="17">
        <f>F21</f>
        <v>2.65</v>
      </c>
      <c r="P69" s="1" t="s">
        <v>30</v>
      </c>
      <c r="Q69" s="1" t="s">
        <v>82</v>
      </c>
    </row>
    <row r="70" spans="2:15" ht="12.75">
      <c r="B70" s="1" t="s">
        <v>90</v>
      </c>
      <c r="G70" s="7"/>
      <c r="H70" s="7"/>
      <c r="I70" s="7"/>
      <c r="J70" s="7"/>
      <c r="K70" s="7"/>
      <c r="M70" s="12"/>
      <c r="O70" s="17"/>
    </row>
    <row r="71" spans="7:17" ht="12.75">
      <c r="G71" s="7"/>
      <c r="H71" s="7"/>
      <c r="I71" s="7"/>
      <c r="J71" s="7"/>
      <c r="K71" s="7"/>
      <c r="L71" s="1" t="s">
        <v>82</v>
      </c>
      <c r="M71" s="12">
        <f>G20</f>
        <v>800</v>
      </c>
      <c r="N71" s="1" t="s">
        <v>24</v>
      </c>
      <c r="O71" s="17">
        <f>G21</f>
        <v>2.5</v>
      </c>
      <c r="P71" s="1" t="s">
        <v>23</v>
      </c>
      <c r="Q71" s="1" t="s">
        <v>82</v>
      </c>
    </row>
    <row r="72" spans="7:17" ht="12.75">
      <c r="G72" s="7"/>
      <c r="H72" s="7"/>
      <c r="I72" s="7"/>
      <c r="J72" s="7"/>
      <c r="K72" s="7"/>
      <c r="L72" s="1" t="s">
        <v>82</v>
      </c>
      <c r="M72" s="12">
        <f>H20</f>
        <v>600</v>
      </c>
      <c r="N72" s="1" t="s">
        <v>34</v>
      </c>
      <c r="O72" s="17">
        <f>H21</f>
        <v>2.35</v>
      </c>
      <c r="P72" s="1" t="s">
        <v>33</v>
      </c>
      <c r="Q72" s="1" t="s">
        <v>82</v>
      </c>
    </row>
    <row r="73" spans="7:17" ht="12.75">
      <c r="G73" s="7"/>
      <c r="H73" s="7"/>
      <c r="I73" s="7"/>
      <c r="J73" s="11" t="s">
        <v>0</v>
      </c>
      <c r="K73" s="7" t="s">
        <v>0</v>
      </c>
      <c r="L73" s="1" t="s">
        <v>82</v>
      </c>
      <c r="M73" s="12">
        <f>I20</f>
        <v>400</v>
      </c>
      <c r="N73" s="1" t="s">
        <v>57</v>
      </c>
      <c r="O73" s="17">
        <f>I21</f>
        <v>2.2</v>
      </c>
      <c r="P73" s="1" t="s">
        <v>56</v>
      </c>
      <c r="Q73" s="1" t="s">
        <v>82</v>
      </c>
    </row>
    <row r="74" spans="7:17" ht="12.75">
      <c r="G74" s="7"/>
      <c r="H74" s="7"/>
      <c r="I74" s="7"/>
      <c r="J74" s="11" t="s">
        <v>0</v>
      </c>
      <c r="K74" s="7"/>
      <c r="L74" s="1" t="s">
        <v>82</v>
      </c>
      <c r="M74" s="17">
        <f>I64</f>
        <v>0.40125</v>
      </c>
      <c r="N74" s="1" t="s">
        <v>22</v>
      </c>
      <c r="Q74" s="1" t="s">
        <v>82</v>
      </c>
    </row>
    <row r="75" spans="7:17" ht="12.75">
      <c r="G75" s="7"/>
      <c r="H75" s="7"/>
      <c r="I75" s="7"/>
      <c r="J75" s="7"/>
      <c r="K75" s="7"/>
      <c r="L75" s="1" t="s">
        <v>82</v>
      </c>
      <c r="M75" s="17">
        <f>I42+I58</f>
        <v>1528.885678</v>
      </c>
      <c r="N75" s="1" t="s">
        <v>47</v>
      </c>
      <c r="Q75" s="1" t="s">
        <v>82</v>
      </c>
    </row>
    <row r="76" spans="7:17" ht="12.75">
      <c r="G76" s="7"/>
      <c r="H76" s="7"/>
      <c r="I76" s="7"/>
      <c r="J76" s="7"/>
      <c r="K76" s="7"/>
      <c r="L76" s="1" t="s">
        <v>82</v>
      </c>
      <c r="M76" s="1" t="s">
        <v>82</v>
      </c>
      <c r="Q76" s="1" t="s">
        <v>82</v>
      </c>
    </row>
    <row r="77" spans="7:17" ht="12.75">
      <c r="G77" s="7"/>
      <c r="H77" s="7"/>
      <c r="I77" s="7"/>
      <c r="J77" s="7"/>
      <c r="K77" s="7"/>
      <c r="L77" s="1" t="s">
        <v>89</v>
      </c>
      <c r="M77" s="1" t="s">
        <v>1</v>
      </c>
      <c r="Q77" s="1" t="s">
        <v>89</v>
      </c>
    </row>
    <row r="78" spans="7:17" ht="12.75">
      <c r="G78" s="7"/>
      <c r="H78" s="7"/>
      <c r="I78" s="7"/>
      <c r="J78" s="7"/>
      <c r="K78" s="7"/>
      <c r="L78" s="1" t="s">
        <v>89</v>
      </c>
      <c r="N78" s="1" t="s">
        <v>124</v>
      </c>
      <c r="Q78" s="1" t="s">
        <v>89</v>
      </c>
    </row>
    <row r="79" spans="7:17" ht="12.75">
      <c r="G79" s="18"/>
      <c r="H79" s="7"/>
      <c r="I79" s="7"/>
      <c r="J79" s="7"/>
      <c r="K79" s="7"/>
      <c r="L79" s="1" t="s">
        <v>89</v>
      </c>
      <c r="M79" s="1" t="s">
        <v>1</v>
      </c>
      <c r="Q79" s="1" t="s">
        <v>89</v>
      </c>
    </row>
    <row r="80" spans="3:17" ht="12.75">
      <c r="C80" s="100" t="s">
        <v>144</v>
      </c>
      <c r="D80" s="100"/>
      <c r="E80" s="100"/>
      <c r="F80" s="100"/>
      <c r="G80" s="100"/>
      <c r="H80" s="100"/>
      <c r="I80" s="100"/>
      <c r="J80" s="7"/>
      <c r="K80" s="7"/>
      <c r="L80" s="1" t="s">
        <v>89</v>
      </c>
      <c r="M80" s="12">
        <f>0.04*M68+0.25*M69+0.42*M71+0.25*M72+0.04*M73</f>
        <v>800</v>
      </c>
      <c r="N80" s="1" t="s">
        <v>20</v>
      </c>
      <c r="O80" s="1">
        <f>0.04*O68+0.25*O69+0.42*O71+0.25*O72+0.04*O73</f>
        <v>2.5</v>
      </c>
      <c r="P80" s="1" t="s">
        <v>19</v>
      </c>
      <c r="Q80" s="1" t="s">
        <v>89</v>
      </c>
    </row>
    <row r="81" spans="7:17" ht="12.75">
      <c r="G81" s="19" t="s">
        <v>0</v>
      </c>
      <c r="H81" s="19"/>
      <c r="I81" s="7"/>
      <c r="J81" s="7"/>
      <c r="K81" s="7"/>
      <c r="L81" s="1" t="s">
        <v>89</v>
      </c>
      <c r="M81" s="1">
        <f>0.25*(M68-M80)+0.5*(M69-M80)</f>
        <v>200</v>
      </c>
      <c r="N81" s="1" t="s">
        <v>45</v>
      </c>
      <c r="O81" s="1">
        <f>0.25*(O68-O80)+0.5*(O69-O80)</f>
        <v>0.1499999999999999</v>
      </c>
      <c r="P81" s="1" t="s">
        <v>37</v>
      </c>
      <c r="Q81" s="1" t="s">
        <v>89</v>
      </c>
    </row>
    <row r="82" spans="7:17" ht="12.75">
      <c r="G82" s="7"/>
      <c r="H82" s="7"/>
      <c r="I82" s="7"/>
      <c r="J82" s="7"/>
      <c r="K82" s="7"/>
      <c r="L82" s="1" t="s">
        <v>89</v>
      </c>
      <c r="M82" s="1">
        <f>0.25*(M80-M73)+0.5*(M80-M72)</f>
        <v>200</v>
      </c>
      <c r="N82" s="1" t="s">
        <v>46</v>
      </c>
      <c r="O82" s="1">
        <f>0.25*(O80-O73)+0.5*(O80-O72)</f>
        <v>0.1499999999999999</v>
      </c>
      <c r="P82" s="1" t="s">
        <v>38</v>
      </c>
      <c r="Q82" s="1" t="s">
        <v>89</v>
      </c>
    </row>
    <row r="83" spans="3:17" ht="12.75">
      <c r="C83" s="1" t="s">
        <v>0</v>
      </c>
      <c r="D83" s="1" t="s">
        <v>143</v>
      </c>
      <c r="F83" s="1" t="s">
        <v>294</v>
      </c>
      <c r="G83" s="7"/>
      <c r="H83" s="8" t="s">
        <v>143</v>
      </c>
      <c r="I83" s="8" t="s">
        <v>0</v>
      </c>
      <c r="J83" s="11" t="s">
        <v>263</v>
      </c>
      <c r="K83" s="7"/>
      <c r="L83" s="1" t="s">
        <v>89</v>
      </c>
      <c r="M83" s="12">
        <f>M81^2</f>
        <v>40000</v>
      </c>
      <c r="N83" s="1" t="s">
        <v>54</v>
      </c>
      <c r="O83" s="1">
        <f>O81^2</f>
        <v>0.022499999999999975</v>
      </c>
      <c r="P83" s="1" t="s">
        <v>48</v>
      </c>
      <c r="Q83" s="1" t="s">
        <v>89</v>
      </c>
    </row>
    <row r="84" spans="3:17" ht="12.75">
      <c r="C84" s="1" t="s">
        <v>102</v>
      </c>
      <c r="D84" s="1" t="s">
        <v>301</v>
      </c>
      <c r="F84" s="1" t="s">
        <v>202</v>
      </c>
      <c r="G84" s="7"/>
      <c r="H84" s="8" t="s">
        <v>232</v>
      </c>
      <c r="I84" s="8" t="s">
        <v>0</v>
      </c>
      <c r="J84" s="11" t="s">
        <v>246</v>
      </c>
      <c r="K84" s="7" t="s">
        <v>2</v>
      </c>
      <c r="L84" s="1" t="s">
        <v>89</v>
      </c>
      <c r="M84" s="12">
        <f>M82^2</f>
        <v>40000</v>
      </c>
      <c r="N84" s="1" t="s">
        <v>55</v>
      </c>
      <c r="O84" s="1">
        <f>O82^2</f>
        <v>0.022499999999999975</v>
      </c>
      <c r="P84" s="1" t="s">
        <v>49</v>
      </c>
      <c r="Q84" s="1" t="s">
        <v>89</v>
      </c>
    </row>
    <row r="85" spans="7:17" ht="12.75">
      <c r="G85" s="7"/>
      <c r="H85" s="7"/>
      <c r="I85" s="7"/>
      <c r="J85" s="7"/>
      <c r="K85" s="7"/>
      <c r="L85" s="1" t="s">
        <v>89</v>
      </c>
      <c r="M85" s="1" t="s">
        <v>1</v>
      </c>
      <c r="Q85" s="1" t="s">
        <v>89</v>
      </c>
    </row>
    <row r="86" spans="3:17" ht="12.75">
      <c r="C86" s="12">
        <f>I15</f>
        <v>1</v>
      </c>
      <c r="D86" s="12">
        <f>MEDY</f>
        <v>800</v>
      </c>
      <c r="F86" s="12">
        <f>MEDY</f>
        <v>800</v>
      </c>
      <c r="G86" s="7"/>
      <c r="H86" s="8">
        <f>MEDP</f>
        <v>2.5</v>
      </c>
      <c r="I86" s="7"/>
      <c r="J86" s="6">
        <f>F86*O80</f>
        <v>2000</v>
      </c>
      <c r="K86" s="7"/>
      <c r="L86" s="1" t="s">
        <v>89</v>
      </c>
      <c r="M86" s="12">
        <f>(M80^2*O83)+(O80-M74)^2*M83</f>
        <v>190590.06249999994</v>
      </c>
      <c r="N86" s="12" t="s">
        <v>50</v>
      </c>
      <c r="O86" s="12">
        <f>(M80^2*O84)+(O80-M74)^2*M84</f>
        <v>190590.06249999994</v>
      </c>
      <c r="P86" s="1" t="s">
        <v>53</v>
      </c>
      <c r="Q86" s="1" t="s">
        <v>89</v>
      </c>
    </row>
    <row r="87" spans="7:17" ht="12.75">
      <c r="G87" s="7"/>
      <c r="H87" s="7"/>
      <c r="I87" s="7"/>
      <c r="J87" s="7"/>
      <c r="K87" s="7"/>
      <c r="L87" s="1" t="s">
        <v>89</v>
      </c>
      <c r="M87" s="12">
        <f>(M80^2*O83)+(O80-M74)^2*M84</f>
        <v>190590.06249999994</v>
      </c>
      <c r="N87" s="12" t="s">
        <v>51</v>
      </c>
      <c r="O87" s="12">
        <f>M80^2*O84+(O80-M74)^2*M83</f>
        <v>190590.06249999994</v>
      </c>
      <c r="P87" s="1" t="s">
        <v>52</v>
      </c>
      <c r="Q87" s="1" t="s">
        <v>89</v>
      </c>
    </row>
    <row r="88" spans="7:18" ht="12.75">
      <c r="G88" s="7"/>
      <c r="H88" s="7"/>
      <c r="I88" s="7"/>
      <c r="J88" s="7"/>
      <c r="K88" s="7"/>
      <c r="L88" s="1" t="s">
        <v>89</v>
      </c>
      <c r="M88" s="12">
        <f>SQRT(M86)</f>
        <v>436.566217772287</v>
      </c>
      <c r="N88" s="12" t="s">
        <v>39</v>
      </c>
      <c r="O88" s="12">
        <f>SQRT(O86)</f>
        <v>436.566217772287</v>
      </c>
      <c r="P88" s="1" t="s">
        <v>42</v>
      </c>
      <c r="Q88" s="1" t="s">
        <v>89</v>
      </c>
      <c r="R88" s="1" t="s">
        <v>0</v>
      </c>
    </row>
    <row r="89" spans="7:17" ht="12.75">
      <c r="G89" s="7"/>
      <c r="H89" s="7"/>
      <c r="I89" s="7"/>
      <c r="J89" s="7"/>
      <c r="K89" s="7"/>
      <c r="L89" s="1" t="s">
        <v>89</v>
      </c>
      <c r="M89" s="12">
        <f>SQRT(M87)</f>
        <v>436.566217772287</v>
      </c>
      <c r="N89" s="12" t="s">
        <v>40</v>
      </c>
      <c r="O89" s="12">
        <f>SQRT(O87)</f>
        <v>436.566217772287</v>
      </c>
      <c r="P89" s="1" t="s">
        <v>41</v>
      </c>
      <c r="Q89" s="1" t="s">
        <v>89</v>
      </c>
    </row>
    <row r="90" spans="2:43" ht="12.75">
      <c r="B90" s="47" t="s">
        <v>5</v>
      </c>
      <c r="G90" s="7"/>
      <c r="H90" s="7"/>
      <c r="I90" s="7"/>
      <c r="J90" s="7"/>
      <c r="K90" s="7"/>
      <c r="L90" s="1" t="s">
        <v>89</v>
      </c>
      <c r="M90" s="12">
        <f>0.66*M88+0.17*M89+0.17*O89</f>
        <v>436.5662177722871</v>
      </c>
      <c r="N90" s="12" t="s">
        <v>43</v>
      </c>
      <c r="O90" s="12">
        <f>0.66*O88+0.17*M89+0.17*O89</f>
        <v>436.5662177722871</v>
      </c>
      <c r="P90" s="1" t="s">
        <v>44</v>
      </c>
      <c r="Q90" s="1" t="s">
        <v>89</v>
      </c>
      <c r="AQ90" s="1" t="s">
        <v>248</v>
      </c>
    </row>
    <row r="91" spans="7:17" ht="12.75">
      <c r="G91" s="7"/>
      <c r="H91" s="7"/>
      <c r="I91" s="7"/>
      <c r="J91" s="7"/>
      <c r="K91" s="7"/>
      <c r="L91" s="1" t="s">
        <v>89</v>
      </c>
      <c r="M91" s="1" t="s">
        <v>1</v>
      </c>
      <c r="Q91" s="1" t="s">
        <v>89</v>
      </c>
    </row>
    <row r="92" spans="2:17" ht="12.75">
      <c r="B92" s="1" t="s">
        <v>206</v>
      </c>
      <c r="G92" s="7"/>
      <c r="H92" s="7"/>
      <c r="I92" s="7"/>
      <c r="J92" s="7"/>
      <c r="K92" s="7"/>
      <c r="L92" s="1" t="s">
        <v>89</v>
      </c>
      <c r="M92" s="1" t="s">
        <v>123</v>
      </c>
      <c r="Q92" s="1" t="s">
        <v>89</v>
      </c>
    </row>
    <row r="93" spans="2:17" ht="12.75">
      <c r="B93" s="1" t="s">
        <v>257</v>
      </c>
      <c r="G93" s="7"/>
      <c r="H93" s="7"/>
      <c r="I93" s="7"/>
      <c r="J93" s="7"/>
      <c r="K93" s="7"/>
      <c r="L93" s="1" t="s">
        <v>89</v>
      </c>
      <c r="M93" s="1" t="s">
        <v>1</v>
      </c>
      <c r="Q93" s="1" t="s">
        <v>89</v>
      </c>
    </row>
    <row r="94" spans="2:17" ht="12.75">
      <c r="B94" s="1" t="s">
        <v>256</v>
      </c>
      <c r="G94" s="7"/>
      <c r="H94" s="7"/>
      <c r="I94" s="7"/>
      <c r="J94" s="7"/>
      <c r="K94" s="7"/>
      <c r="L94" s="1" t="s">
        <v>89</v>
      </c>
      <c r="M94" s="12">
        <f>M88*M67</f>
        <v>436.566217772287</v>
      </c>
      <c r="N94" s="1" t="s">
        <v>39</v>
      </c>
      <c r="O94" s="12">
        <f>O88*M67</f>
        <v>436.566217772287</v>
      </c>
      <c r="P94" s="1" t="s">
        <v>42</v>
      </c>
      <c r="Q94" s="1" t="s">
        <v>89</v>
      </c>
    </row>
    <row r="95" spans="7:17" ht="12.75">
      <c r="G95" s="7"/>
      <c r="H95" s="7"/>
      <c r="I95" s="7"/>
      <c r="J95" s="7"/>
      <c r="K95" s="7" t="s">
        <v>0</v>
      </c>
      <c r="L95" s="1" t="s">
        <v>89</v>
      </c>
      <c r="M95" s="12">
        <f>M89*M67</f>
        <v>436.566217772287</v>
      </c>
      <c r="N95" s="1" t="s">
        <v>40</v>
      </c>
      <c r="O95" s="12">
        <f>O89*M67</f>
        <v>436.566217772287</v>
      </c>
      <c r="P95" s="1" t="s">
        <v>41</v>
      </c>
      <c r="Q95" s="1" t="s">
        <v>89</v>
      </c>
    </row>
    <row r="96" spans="5:17" ht="12.75">
      <c r="E96" s="47" t="s">
        <v>32</v>
      </c>
      <c r="G96" s="19" t="s">
        <v>21</v>
      </c>
      <c r="H96" s="7"/>
      <c r="I96" s="48" t="s">
        <v>35</v>
      </c>
      <c r="J96" s="7"/>
      <c r="K96" s="7"/>
      <c r="L96" s="1" t="s">
        <v>89</v>
      </c>
      <c r="M96" s="12">
        <f>M67*M90</f>
        <v>436.5662177722871</v>
      </c>
      <c r="N96" s="1" t="s">
        <v>43</v>
      </c>
      <c r="O96" s="12">
        <f>M67*O90</f>
        <v>436.5662177722871</v>
      </c>
      <c r="P96" s="1" t="s">
        <v>44</v>
      </c>
      <c r="Q96" s="1" t="s">
        <v>89</v>
      </c>
    </row>
    <row r="97" spans="4:17" ht="12.75">
      <c r="D97" s="7"/>
      <c r="J97" s="7"/>
      <c r="K97" s="7"/>
      <c r="L97" s="1" t="s">
        <v>89</v>
      </c>
      <c r="M97" s="17">
        <f>O71</f>
        <v>2.5</v>
      </c>
      <c r="N97" s="1" t="s">
        <v>26</v>
      </c>
      <c r="O97" s="1">
        <f>M71</f>
        <v>800</v>
      </c>
      <c r="P97" s="1" t="s">
        <v>29</v>
      </c>
      <c r="Q97" s="1" t="s">
        <v>89</v>
      </c>
    </row>
    <row r="98" spans="2:17" ht="12.75">
      <c r="B98" s="1" t="s">
        <v>87</v>
      </c>
      <c r="D98" s="11">
        <f>O$99+1.5*M$96</f>
        <v>804.9636486584305</v>
      </c>
      <c r="E98" s="11">
        <f>(O99+M96)</f>
        <v>586.6805397722869</v>
      </c>
      <c r="F98" s="11">
        <f>O99+0.5*M96</f>
        <v>368.3974308861434</v>
      </c>
      <c r="G98" s="16">
        <f>O99</f>
        <v>150.1143219999999</v>
      </c>
      <c r="H98" s="11">
        <f>O99-0.5*O96</f>
        <v>-68.16878688614364</v>
      </c>
      <c r="I98" s="11">
        <f>O99-O96</f>
        <v>-286.4518957722872</v>
      </c>
      <c r="J98" s="11">
        <f>O99-1.5*O96</f>
        <v>-504.73500465843074</v>
      </c>
      <c r="K98" s="7"/>
      <c r="L98" s="1" t="s">
        <v>89</v>
      </c>
      <c r="M98" s="12">
        <f>I15*M80*O80</f>
        <v>2000</v>
      </c>
      <c r="N98" s="1" t="s">
        <v>18</v>
      </c>
      <c r="O98" s="12">
        <f>(M75+M71*M74)*M67</f>
        <v>1849.885678</v>
      </c>
      <c r="P98" s="1" t="s">
        <v>27</v>
      </c>
      <c r="Q98" s="1" t="s">
        <v>89</v>
      </c>
    </row>
    <row r="99" spans="2:17" ht="12.75">
      <c r="B99" s="1" t="s">
        <v>126</v>
      </c>
      <c r="D99" s="20">
        <f>IF(N103&lt;1,IF(M103,R103,1-R103),IF(M103,R104,1-R104))</f>
        <v>0.06680727937584853</v>
      </c>
      <c r="E99" s="20">
        <f>IF(T103&lt;1,IF(S103,X103,1-X103),IF(S103,X104,1-X104))</f>
        <v>0.15865531316113052</v>
      </c>
      <c r="F99" s="20">
        <f>IF(Z103&lt;1,IF(Y103,AD103,1-AD103),IF(Y103,AD104,1-AD104))</f>
        <v>0.30853755861792775</v>
      </c>
      <c r="G99" s="20">
        <f>IF(N105&lt;1,IF(M105,R105,1-R105),IF(M105,R106,1-R106))</f>
        <v>0.5000000002253843</v>
      </c>
      <c r="H99" s="21">
        <f>IF(T105&lt;1,IF(S105,X105,1-X105),IF(S105,X106,1-X106))</f>
        <v>0.6914624413820722</v>
      </c>
      <c r="I99" s="21">
        <f>IF(Z105&lt;1,IF(Y105,AD105,1-AD105),IF(Y105,AD106,1-AD106))</f>
        <v>0.8413446868388695</v>
      </c>
      <c r="J99" s="22">
        <f>IF(N107&lt;1,IF(M107,R107,1-R107),IF(M107,R108,1-R108))</f>
        <v>0.9331927206241515</v>
      </c>
      <c r="K99" s="7" t="s">
        <v>0</v>
      </c>
      <c r="L99" s="1" t="s">
        <v>89</v>
      </c>
      <c r="M99" s="12">
        <f>M98+(0.7857*(O96-M96))</f>
        <v>2000</v>
      </c>
      <c r="N99" s="1" t="s">
        <v>28</v>
      </c>
      <c r="O99" s="12">
        <f>M98-O98</f>
        <v>150.1143219999999</v>
      </c>
      <c r="P99" s="1" t="s">
        <v>16</v>
      </c>
      <c r="Q99" s="1" t="s">
        <v>89</v>
      </c>
    </row>
    <row r="100" spans="2:17" ht="12.75">
      <c r="B100" s="1" t="s">
        <v>126</v>
      </c>
      <c r="D100" s="23">
        <f>IF(N103&lt;1,IF(M103,1-R103,R103),IF(M103,1-R104,R104))</f>
        <v>0.9331927206241515</v>
      </c>
      <c r="E100" s="23">
        <f>IF(T103&lt;1,IF(S103,1-X103,X103),IF(S103,1-X104,X104))</f>
        <v>0.8413446868388694</v>
      </c>
      <c r="F100" s="23">
        <f>IF(Z103&lt;1,IF(Y103,1-AD103,AD103),IF(Y103,1-AD104,AD104))</f>
        <v>0.6914624413820722</v>
      </c>
      <c r="G100" s="20">
        <f>IF(N105&lt;1,IF(M105,1-R105,R105),IF(M105,1-R106,R106))</f>
        <v>0.49999999977461573</v>
      </c>
      <c r="H100" s="20">
        <f>IF(T105&lt;1,IF(S105,1-X105,X105),IF(S105,1-X106,X106))</f>
        <v>0.30853755861792775</v>
      </c>
      <c r="I100" s="20">
        <f>IF(Z105&lt;1,IF(Y105,1-AD105,AD105),IF(Y105,1-AD106,AD106))</f>
        <v>0.15865531316113046</v>
      </c>
      <c r="J100" s="20">
        <f>IF(N107&lt;1,IF(M107,1-R107,R107),IF(M107,1-R108,R108))</f>
        <v>0.06680727937584853</v>
      </c>
      <c r="K100" s="7"/>
      <c r="L100" s="1" t="s">
        <v>89</v>
      </c>
      <c r="M100" s="12">
        <f>M99-O98</f>
        <v>150.1143219999999</v>
      </c>
      <c r="N100" s="1" t="s">
        <v>25</v>
      </c>
      <c r="O100" s="1">
        <f>O99-M100</f>
        <v>0</v>
      </c>
      <c r="P100" s="1" t="s">
        <v>17</v>
      </c>
      <c r="Q100" s="1" t="s">
        <v>89</v>
      </c>
    </row>
    <row r="101" spans="4:17" ht="12.75">
      <c r="D101" s="7"/>
      <c r="E101" s="7"/>
      <c r="F101" s="7"/>
      <c r="G101" s="7"/>
      <c r="H101" s="7"/>
      <c r="I101" s="7"/>
      <c r="J101" s="7"/>
      <c r="K101" s="7"/>
      <c r="L101" s="1" t="s">
        <v>89</v>
      </c>
      <c r="M101" s="1" t="s">
        <v>1</v>
      </c>
      <c r="Q101" s="1" t="s">
        <v>89</v>
      </c>
    </row>
    <row r="102" spans="2:11" ht="13.5" thickBot="1">
      <c r="B102" s="15" t="s">
        <v>127</v>
      </c>
      <c r="D102" s="7"/>
      <c r="E102" s="77">
        <f>IF(T107&lt;1,IF(S107,X107,1-X107),IF(S107,X108,1-X108))</f>
        <v>0.6345212606312403</v>
      </c>
      <c r="F102" s="7" t="s">
        <v>6</v>
      </c>
      <c r="G102" s="7"/>
      <c r="H102" s="7"/>
      <c r="I102" s="7"/>
      <c r="J102" s="76">
        <f>M67*(G20*G21-I60)</f>
        <v>150.1143219999999</v>
      </c>
      <c r="K102" s="7"/>
    </row>
    <row r="103" spans="5:30" ht="13.5" thickTop="1">
      <c r="E103" s="67"/>
      <c r="G103" s="7"/>
      <c r="H103" s="7"/>
      <c r="I103" s="7"/>
      <c r="J103" s="70"/>
      <c r="K103" s="7"/>
      <c r="M103" s="17" t="b">
        <f>+D98&gt;=M100</f>
        <v>1</v>
      </c>
      <c r="N103" s="17">
        <f>ABS((D98-O99)/IF(M103,M96,O96))</f>
        <v>1.5</v>
      </c>
      <c r="O103" s="17">
        <f>MIN(2.5,ABS((D98-(M100+O100*ABS(D98-M100)/ABS(IF(M103,M96+O100,O96-O100))*MIN(1,N103)))/(MIN(1.52,N103)/1.52*IF(M103,M94,O94)+(1.52-MIN(1.52,N103))/3.04*M95+(1.52-MIN(1.52,N103))/3.04*O95)))</f>
        <v>1.5000000000000002</v>
      </c>
      <c r="P103" s="17">
        <f aca="true" t="shared" si="1" ref="P103:P108">1/(1+(0.2316419*O103))</f>
        <v>0.7421354881880416</v>
      </c>
      <c r="Q103" s="17">
        <f aca="true" t="shared" si="2" ref="Q103:Q108">0.398942281*((2.71828)^((-(O103^2)/2)))</f>
        <v>0.12951769387066334</v>
      </c>
      <c r="R103" s="17">
        <f aca="true" t="shared" si="3" ref="R103:R108">Q103*(0.31938153*P103-0.356563782*P103^2+1.781477937*P103^3-1.821255978*P103^4+1.330274429*P103^5)</f>
        <v>0.06680727937584853</v>
      </c>
      <c r="S103" s="17" t="b">
        <f>+E98&gt;=M100</f>
        <v>1</v>
      </c>
      <c r="T103" s="17">
        <f>ABS((E98-O99)/IF(S103,M96,O96))</f>
        <v>0.9999999999999999</v>
      </c>
      <c r="U103" s="17">
        <f>MIN(2.5,ABS((E98-(M100+O100*ABS(E98-M100)/ABS(IF(S103,M96+O100,O96-O100))*MIN(1,T103)))/(MIN(1.52,T103)/1.52*IF(S103,M94,O94)+(1.52-MIN(1.52,T103))/3.04*M95+(1.52-MIN(1.52,T103))/3.04*O95)))</f>
        <v>1</v>
      </c>
      <c r="V103" s="17">
        <f aca="true" t="shared" si="4" ref="V103:V108">1/(1+(0.2316419*U103))</f>
        <v>0.8119243101424204</v>
      </c>
      <c r="W103" s="17">
        <f aca="true" t="shared" si="5" ref="W103:W108">0.398942281*((2.71828)^((-(U103^2)/2)))</f>
        <v>0.24197080626333936</v>
      </c>
      <c r="X103" s="17">
        <f aca="true" t="shared" si="6" ref="X103:X108">W103*(0.31938153*V103-0.356563782*V103^2+1.781477937*V103^3-1.821255978*V103^4+1.330274429*V103^5)</f>
        <v>0.15865531316113052</v>
      </c>
      <c r="Y103" s="17" t="b">
        <f>+F98&gt;=M100</f>
        <v>1</v>
      </c>
      <c r="Z103" s="17">
        <f>ABS((F98-O99)/IF(Y103,M96,O96))</f>
        <v>0.49999999999999994</v>
      </c>
      <c r="AA103" s="17">
        <f>MIN(2.5,ABS((F98-(M100+O100*ABS(F98-M100)/ABS(IF(Y103,M96+O100,O96-O100))*MIN(1,Z103)))/(MIN(1.52,Z103)/1.52*IF(Y103,M94,O94)+(1.52-MIN(1.52,Z103))/3.04*M95+(1.52-MIN(1.52,Z103))/3.04*O95)))</f>
        <v>0.5</v>
      </c>
      <c r="AB103" s="17">
        <f>1/(1+(0.2316419*AA103))</f>
        <v>0.8962011333449152</v>
      </c>
      <c r="AC103" s="17">
        <f>0.398942281*((2.71828)^((-(AA103^2)/2)))</f>
        <v>0.35206535689474694</v>
      </c>
      <c r="AD103" s="17">
        <f>AC103*(0.31938153*AB103-0.356563782*AB103^2+1.781477937*AB103^3-1.821255978*AB103^4+1.330274429*AB103^5)</f>
        <v>0.30853755861792775</v>
      </c>
    </row>
    <row r="104" spans="7:30" ht="12.75">
      <c r="G104" s="7"/>
      <c r="H104" s="7"/>
      <c r="I104" s="7"/>
      <c r="J104" s="7"/>
      <c r="K104" s="7"/>
      <c r="L104" s="1" t="s">
        <v>0</v>
      </c>
      <c r="O104" s="17">
        <f>MIN(2.5,ABS((D98-O99)/(MIN(1.52,N103)/1.52*IF(M103,M94,O94)+(1.52-MIN(1.52,N103))/3.04*M95+(1.52-MIN(1.52,N103))/3.04*O95)))</f>
        <v>1.5000000000000002</v>
      </c>
      <c r="P104" s="17">
        <f t="shared" si="1"/>
        <v>0.7421354881880416</v>
      </c>
      <c r="Q104" s="17">
        <f t="shared" si="2"/>
        <v>0.12951769387066334</v>
      </c>
      <c r="R104" s="17">
        <f t="shared" si="3"/>
        <v>0.06680727937584853</v>
      </c>
      <c r="U104" s="17">
        <f>MIN(2.5,ABS((E98-O99)/(MIN(1.52,T103)/1.52*IF(S103,M94,O94)+(1.52-MIN(1.52,T103))/3.04*M95+(1.52-MIN(1.52,T103))/3.04*O95)))</f>
        <v>1</v>
      </c>
      <c r="V104" s="17">
        <f t="shared" si="4"/>
        <v>0.8119243101424204</v>
      </c>
      <c r="W104" s="17">
        <f t="shared" si="5"/>
        <v>0.24197080626333936</v>
      </c>
      <c r="X104" s="17">
        <f t="shared" si="6"/>
        <v>0.15865531316113052</v>
      </c>
      <c r="AA104" s="17">
        <f>MIN(2.5,ABS((F98-O99)/(MIN(1.52,Z103)/1.52*IF(Y103,M94,O94)+(1.52-MIN(1.52,Z103))/3.04*M95+(1.52-MIN(1.52,Z103))/3.04*O95)))</f>
        <v>0.5</v>
      </c>
      <c r="AB104" s="17">
        <f>1/(1+(0.2316419*AA104))</f>
        <v>0.8962011333449152</v>
      </c>
      <c r="AC104" s="17">
        <f>0.398942281*((2.71828)^((-(AA104^2)/2)))</f>
        <v>0.35206535689474694</v>
      </c>
      <c r="AD104" s="17">
        <f>AC104*(0.31938153*AB104-0.356563782*AB104^2+1.781477937*AB104^3-1.821255978*AB104^4+1.330274429*AB104^5)</f>
        <v>0.30853755861792775</v>
      </c>
    </row>
    <row r="105" spans="11:30" ht="12.75">
      <c r="K105" s="1" t="s">
        <v>2</v>
      </c>
      <c r="M105" s="17" t="b">
        <f>+G98&gt;=M100</f>
        <v>1</v>
      </c>
      <c r="N105" s="17">
        <f>ABS((G98-O99)/IF(M105,M96,O96))</f>
        <v>0</v>
      </c>
      <c r="O105" s="17">
        <f>MIN(2.5,ABS((G98-(M100+O100*ABS(G98-M100)/ABS(IF(M105,M96+O100,O96-O100))*MIN(1,N105)))/(MIN(1.52,N105)/1.52*IF(M105,M94,O94)+(1.52-MIN(1.52,N105))/3.04*M95+(1.52-MIN(1.52,N105))/3.04*O95)))</f>
        <v>0</v>
      </c>
      <c r="P105" s="17">
        <f t="shared" si="1"/>
        <v>1</v>
      </c>
      <c r="Q105" s="17">
        <f t="shared" si="2"/>
        <v>0.398942281</v>
      </c>
      <c r="R105" s="17">
        <f t="shared" si="3"/>
        <v>0.5000000002253843</v>
      </c>
      <c r="S105" s="17" t="b">
        <f>+H98&gt;=M100</f>
        <v>0</v>
      </c>
      <c r="T105" s="17">
        <f>ABS((H98-O99)/IF(S105,M96,O96))</f>
        <v>0.5</v>
      </c>
      <c r="U105" s="17">
        <f>MIN(2.5,ABS((H98-(M100+O100*ABS(H98-M100)/ABS(IF(S105,M96+O100,O96-O100))*MIN(1,T105)))/(MIN(1.52,T105)/1.52*IF(S105,M94,O94)+(1.52-MIN(1.52,T105))/3.04*M95+(1.52-MIN(1.52,T105))/3.04*O95)))</f>
        <v>0.5000000000000001</v>
      </c>
      <c r="V105" s="17">
        <f t="shared" si="4"/>
        <v>0.8962011333449152</v>
      </c>
      <c r="W105" s="17">
        <f t="shared" si="5"/>
        <v>0.35206535689474694</v>
      </c>
      <c r="X105" s="17">
        <f t="shared" si="6"/>
        <v>0.30853755861792775</v>
      </c>
      <c r="Y105" s="17" t="b">
        <f>+I98&gt;=M100</f>
        <v>0</v>
      </c>
      <c r="Z105" s="17">
        <f>ABS((I98-O99)/IF(Y105,M96,O96))</f>
        <v>1</v>
      </c>
      <c r="AA105" s="17">
        <f>MIN(2.5,ABS((I98-(M100+O100*ABS(I98-M100)/ABS(IF(Y105,M96+O100,O96-O100))*MIN(1,Z105)))/(MIN(1.52,Z105)/1.52*IF(Y105,M94,O94)+(1.52-MIN(1.52,Z105))/3.04*M95+(1.52-MIN(1.52,Z105))/3.04*O95)))</f>
        <v>1.0000000000000002</v>
      </c>
      <c r="AB105" s="17">
        <f>1/(1+(0.2316419*AA105))</f>
        <v>0.8119243101424204</v>
      </c>
      <c r="AC105" s="17">
        <f>0.398942281*((2.71828)^((-(AA105^2)/2)))</f>
        <v>0.24197080626333928</v>
      </c>
      <c r="AD105" s="17">
        <f>AC105*(0.31938153*AB105-0.356563782*AB105^2+1.781477937*AB105^3-1.821255978*AB105^4+1.330274429*AB105^5)</f>
        <v>0.15865531316113046</v>
      </c>
    </row>
    <row r="106" spans="15:30" ht="12.75">
      <c r="O106" s="17">
        <f>MIN(2.5,ABS((G98-O99)/(MIN(1.52,N105)/1.52*IF(M105,M94,O94)+(1.52-MIN(1.52,N105))/3.04*M95+(1.52-MIN(1.52,N105))/3.04*O95)))</f>
        <v>0</v>
      </c>
      <c r="P106" s="17">
        <f t="shared" si="1"/>
        <v>1</v>
      </c>
      <c r="Q106" s="17">
        <f t="shared" si="2"/>
        <v>0.398942281</v>
      </c>
      <c r="R106" s="17">
        <f t="shared" si="3"/>
        <v>0.5000000002253843</v>
      </c>
      <c r="U106" s="17">
        <f>MIN(2.5,ABS((H98-O99)/(MIN(1.52,T105)/1.52*IF(S105,M94,O94)+(1.52-MIN(1.52,T105))/3.04*M95+(1.52-MIN(1.52,T105))/3.04*O95)))</f>
        <v>0.5000000000000001</v>
      </c>
      <c r="V106" s="17">
        <f t="shared" si="4"/>
        <v>0.8962011333449152</v>
      </c>
      <c r="W106" s="17">
        <f t="shared" si="5"/>
        <v>0.35206535689474694</v>
      </c>
      <c r="X106" s="17">
        <f t="shared" si="6"/>
        <v>0.30853755861792775</v>
      </c>
      <c r="AA106" s="17">
        <f>MIN(2.5,ABS((I98-O99)/(MIN(1.52,Z105)/1.52*IF(Y105,M94,O94)+(1.52-MIN(1.52,Z105))/3.04*M95+(1.52-MIN(1.52,Z105))/3.04*O95)))</f>
        <v>1.0000000000000002</v>
      </c>
      <c r="AB106" s="17">
        <f>1/(1+(0.2316419*AA106))</f>
        <v>0.8119243101424204</v>
      </c>
      <c r="AC106" s="17">
        <f>0.398942281*((2.71828)^((-(AA106^2)/2)))</f>
        <v>0.24197080626333928</v>
      </c>
      <c r="AD106" s="17">
        <f>AC106*(0.31938153*AB106-0.356563782*AB106^2+1.781477937*AB106^3-1.821255978*AB106^4+1.330274429*AB106^5)</f>
        <v>0.15865531316113046</v>
      </c>
    </row>
    <row r="107" spans="13:24" ht="12.75">
      <c r="M107" s="17" t="b">
        <f>+J98&gt;=M100</f>
        <v>0</v>
      </c>
      <c r="N107" s="17">
        <f>ABS((J98-O99)/IF(M107,M96,O96))</f>
        <v>1.5</v>
      </c>
      <c r="O107" s="17">
        <f>MIN(2.5,ABS((J98-(M100+O100*ABS(J98-M100)/ABS(IF(M107,M96+O100,O96-O100))*MIN(1,N107)))/(MIN(1.52,N107)/1.52*IF(M107,M94,O94)+(1.52-MIN(1.52,N107))/3.04*M95+(1.52-MIN(1.52,N107))/3.04*O95)))</f>
        <v>1.5000000000000002</v>
      </c>
      <c r="P107" s="17">
        <f t="shared" si="1"/>
        <v>0.7421354881880416</v>
      </c>
      <c r="Q107" s="17">
        <f t="shared" si="2"/>
        <v>0.12951769387066334</v>
      </c>
      <c r="R107" s="17">
        <f t="shared" si="3"/>
        <v>0.06680727937584853</v>
      </c>
      <c r="S107" s="17" t="b">
        <f>0&gt;=M100</f>
        <v>0</v>
      </c>
      <c r="T107" s="17">
        <f>ABS((0-O99)/IF(S107,M96,O96))</f>
        <v>0.3438523547836666</v>
      </c>
      <c r="U107" s="17">
        <f>MIN(2.5,ABS((0-(M100+O100*ABS(0-M100)/ABS(IF(S107,M96+O100,O96-O100))*MIN(1,T107)))/(MIN(1.52,T107)/1.52*IF(S107,M94,O94)+(1.52-MIN(1.52,T107))/3.04*M95+(1.52-MIN(1.52,T107))/3.04*O95)))</f>
        <v>0.3438523547836666</v>
      </c>
      <c r="V107" s="17">
        <f t="shared" si="4"/>
        <v>0.9262255660872044</v>
      </c>
      <c r="W107" s="17">
        <f t="shared" si="5"/>
        <v>0.3760415212306763</v>
      </c>
      <c r="X107" s="17">
        <f t="shared" si="6"/>
        <v>0.36547873936875974</v>
      </c>
    </row>
    <row r="108" spans="8:24" ht="12.75">
      <c r="H108" s="25"/>
      <c r="K108" s="1" t="s">
        <v>2</v>
      </c>
      <c r="O108" s="17">
        <f>MIN(2.5,ABS((J98-O99)/(MIN(1.52,N107)/1.52*IF(M107,M94,O94)+(1.52-MIN(1.52,N107))/3.04*M95+(1.52-MIN(1.52,N107))/3.04*O95)))</f>
        <v>1.5000000000000002</v>
      </c>
      <c r="P108" s="17">
        <f t="shared" si="1"/>
        <v>0.7421354881880416</v>
      </c>
      <c r="Q108" s="17">
        <f t="shared" si="2"/>
        <v>0.12951769387066334</v>
      </c>
      <c r="R108" s="17">
        <f t="shared" si="3"/>
        <v>0.06680727937584853</v>
      </c>
      <c r="U108" s="17">
        <f>MIN(2.5,ABS((0-O99)/(MIN(1.52,T107)/1.52*IF(S107,M94,O94)+(1.52-MIN(1.52,T107))/3.04*M95+(1.52-MIN(1.52,T107))/3.04*O95)))</f>
        <v>0.3438523547836666</v>
      </c>
      <c r="V108" s="17">
        <f t="shared" si="4"/>
        <v>0.9262255660872044</v>
      </c>
      <c r="W108" s="17">
        <f t="shared" si="5"/>
        <v>0.3760415212306763</v>
      </c>
      <c r="X108" s="17">
        <f t="shared" si="6"/>
        <v>0.36547873936875974</v>
      </c>
    </row>
    <row r="113" ht="12.75">
      <c r="A113" s="1" t="s">
        <v>90</v>
      </c>
    </row>
    <row r="116" ht="12.75">
      <c r="C116" s="47" t="s">
        <v>375</v>
      </c>
    </row>
    <row r="118" spans="3:9" ht="12.75">
      <c r="C118" s="65" t="s">
        <v>116</v>
      </c>
      <c r="D118" s="65" t="s">
        <v>213</v>
      </c>
      <c r="E118" s="65" t="s">
        <v>213</v>
      </c>
      <c r="F118" s="65" t="s">
        <v>142</v>
      </c>
      <c r="G118" s="65" t="s">
        <v>221</v>
      </c>
      <c r="H118" s="65" t="s">
        <v>221</v>
      </c>
      <c r="I118" s="65" t="s">
        <v>297</v>
      </c>
    </row>
    <row r="119" spans="2:9" ht="12.75">
      <c r="B119" s="1" t="s">
        <v>233</v>
      </c>
      <c r="C119" s="52" t="s">
        <v>73</v>
      </c>
      <c r="D119" s="52" t="s">
        <v>73</v>
      </c>
      <c r="E119" s="52" t="s">
        <v>73</v>
      </c>
      <c r="F119" s="7">
        <v>800</v>
      </c>
      <c r="G119" s="52" t="s">
        <v>73</v>
      </c>
      <c r="H119" s="52" t="s">
        <v>73</v>
      </c>
      <c r="I119" s="52" t="s">
        <v>73</v>
      </c>
    </row>
    <row r="120" spans="1:9" ht="12.75">
      <c r="A120" s="1" t="s">
        <v>298</v>
      </c>
      <c r="B120" s="17">
        <v>2.2</v>
      </c>
      <c r="C120" s="7">
        <v>479</v>
      </c>
      <c r="D120" s="11">
        <v>289</v>
      </c>
      <c r="E120" s="11">
        <v>100</v>
      </c>
      <c r="F120" s="94">
        <v>-90</v>
      </c>
      <c r="G120" s="95">
        <v>-280</v>
      </c>
      <c r="H120" s="95">
        <v>-469</v>
      </c>
      <c r="I120" s="94">
        <v>-659</v>
      </c>
    </row>
    <row r="121" spans="1:9" ht="12.75">
      <c r="A121" s="1" t="s">
        <v>298</v>
      </c>
      <c r="B121" s="17">
        <v>2.35</v>
      </c>
      <c r="C121" s="7">
        <v>642</v>
      </c>
      <c r="D121" s="11">
        <v>438</v>
      </c>
      <c r="E121" s="11">
        <v>234</v>
      </c>
      <c r="F121" s="11">
        <v>30</v>
      </c>
      <c r="G121" s="94">
        <v>-174</v>
      </c>
      <c r="H121" s="94">
        <v>-378</v>
      </c>
      <c r="I121" s="94">
        <v>-582</v>
      </c>
    </row>
    <row r="122" spans="1:9" ht="12.75">
      <c r="A122" s="1" t="s">
        <v>298</v>
      </c>
      <c r="B122" s="17">
        <v>2.5</v>
      </c>
      <c r="C122" s="7">
        <v>805</v>
      </c>
      <c r="D122" s="11">
        <v>587</v>
      </c>
      <c r="E122" s="11">
        <v>368</v>
      </c>
      <c r="F122" s="11">
        <v>150</v>
      </c>
      <c r="G122" s="94">
        <v>-68</v>
      </c>
      <c r="H122" s="95">
        <v>-286</v>
      </c>
      <c r="I122" s="94">
        <v>-505</v>
      </c>
    </row>
    <row r="123" spans="1:9" ht="12.75">
      <c r="A123" s="1" t="s">
        <v>298</v>
      </c>
      <c r="B123" s="17">
        <v>2.65</v>
      </c>
      <c r="C123" s="7">
        <v>968</v>
      </c>
      <c r="D123" s="11">
        <v>736</v>
      </c>
      <c r="E123" s="11">
        <v>503</v>
      </c>
      <c r="F123" s="11">
        <v>270</v>
      </c>
      <c r="G123" s="11">
        <v>37</v>
      </c>
      <c r="H123" s="95">
        <v>-195</v>
      </c>
      <c r="I123" s="94">
        <v>-428</v>
      </c>
    </row>
    <row r="124" spans="2:9" ht="12.75">
      <c r="B124" s="17">
        <v>2.8</v>
      </c>
      <c r="C124" s="11">
        <v>1132</v>
      </c>
      <c r="D124" s="11">
        <v>885</v>
      </c>
      <c r="E124" s="11">
        <v>637</v>
      </c>
      <c r="F124" s="11">
        <v>390</v>
      </c>
      <c r="G124" s="11">
        <v>143</v>
      </c>
      <c r="H124" s="94">
        <v>-104</v>
      </c>
      <c r="I124" s="94">
        <v>-352</v>
      </c>
    </row>
    <row r="125" spans="4:9" ht="12.75">
      <c r="D125" s="5"/>
      <c r="E125" s="5"/>
      <c r="F125" s="5"/>
      <c r="G125" s="5"/>
      <c r="H125" s="5"/>
      <c r="I125" s="5"/>
    </row>
    <row r="126" spans="4:9" ht="12.75">
      <c r="D126" s="5"/>
      <c r="E126" s="5"/>
      <c r="F126" s="5"/>
      <c r="G126" s="5"/>
      <c r="H126" s="5"/>
      <c r="I126" s="5"/>
    </row>
    <row r="137" spans="2:9" ht="12.75">
      <c r="B137" s="15"/>
      <c r="C137" s="15"/>
      <c r="D137" s="15"/>
      <c r="E137" s="19"/>
      <c r="F137" s="19"/>
      <c r="G137" s="19"/>
      <c r="H137" s="10"/>
      <c r="I137" s="10"/>
    </row>
    <row r="138" spans="5:9" ht="12.75">
      <c r="E138" s="7"/>
      <c r="F138" s="7"/>
      <c r="G138" s="7"/>
      <c r="H138" s="7"/>
      <c r="I138" s="7"/>
    </row>
    <row r="139" spans="5:9" ht="12.75">
      <c r="E139" s="6"/>
      <c r="F139" s="6"/>
      <c r="G139" s="9"/>
      <c r="H139" s="6"/>
      <c r="I139" s="6"/>
    </row>
    <row r="140" spans="5:9" ht="12.75">
      <c r="E140" s="8"/>
      <c r="F140" s="8"/>
      <c r="G140" s="10"/>
      <c r="H140" s="8"/>
      <c r="I140" s="8"/>
    </row>
  </sheetData>
  <sheetProtection/>
  <mergeCells count="2">
    <mergeCell ref="E12:G12"/>
    <mergeCell ref="C80:I80"/>
  </mergeCells>
  <printOptions/>
  <pageMargins left="0.75" right="0.75" top="1" bottom="1" header="0.5" footer="0.5"/>
  <pageSetup horizontalDpi="600" verticalDpi="600" orientation="portrait" r:id="rId1"/>
  <rowBreaks count="2" manualBreakCount="2">
    <brk id="10" max="255" man="1"/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R4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13" width="9.140625" style="1" customWidth="1"/>
    <col min="14" max="14" width="40.7109375" style="1" customWidth="1"/>
    <col min="15" max="15" width="11.140625" style="1" customWidth="1"/>
    <col min="16" max="16" width="11.57421875" style="1" customWidth="1"/>
    <col min="17" max="17" width="11.7109375" style="1" customWidth="1"/>
    <col min="18" max="18" width="12.140625" style="1" customWidth="1"/>
    <col min="19" max="16384" width="9.140625" style="1" customWidth="1"/>
  </cols>
  <sheetData>
    <row r="2" ht="12.75">
      <c r="B2" s="93" t="s">
        <v>360</v>
      </c>
    </row>
    <row r="4" spans="1:9" ht="15.75">
      <c r="A4" s="101" t="s">
        <v>372</v>
      </c>
      <c r="B4" s="99"/>
      <c r="C4" s="99"/>
      <c r="D4" s="99"/>
      <c r="E4" s="99"/>
      <c r="F4" s="99"/>
      <c r="G4" s="99"/>
      <c r="H4" s="99"/>
      <c r="I4" s="99"/>
    </row>
    <row r="5" spans="2:8" ht="15.75">
      <c r="B5" s="101" t="s">
        <v>353</v>
      </c>
      <c r="C5" s="102"/>
      <c r="D5" s="102"/>
      <c r="E5" s="102"/>
      <c r="F5" s="102"/>
      <c r="G5" s="102"/>
      <c r="H5" s="102"/>
    </row>
    <row r="7" spans="14:18" ht="12.75">
      <c r="N7" s="65" t="s">
        <v>362</v>
      </c>
      <c r="O7" s="65" t="s">
        <v>363</v>
      </c>
      <c r="P7" s="65" t="s">
        <v>364</v>
      </c>
      <c r="Q7" s="65" t="s">
        <v>365</v>
      </c>
      <c r="R7" s="65" t="s">
        <v>366</v>
      </c>
    </row>
    <row r="8" spans="2:18" ht="12.75">
      <c r="B8" s="19"/>
      <c r="C8" s="19"/>
      <c r="D8" s="19"/>
      <c r="E8" s="19"/>
      <c r="F8" s="19"/>
      <c r="G8" s="10"/>
      <c r="H8" s="9"/>
      <c r="N8" s="51" t="s">
        <v>367</v>
      </c>
      <c r="O8" s="17">
        <f>H25</f>
        <v>1036.2643485056392</v>
      </c>
      <c r="P8" s="17">
        <f>+Yr2!H26</f>
        <v>950.1649266</v>
      </c>
      <c r="Q8" s="17">
        <f>+Yr3!H26</f>
        <v>858.0637266</v>
      </c>
      <c r="R8" s="17">
        <f>+Bud!I42</f>
        <v>1117.44364</v>
      </c>
    </row>
    <row r="9" spans="14:18" ht="12.75">
      <c r="N9" s="51" t="s">
        <v>368</v>
      </c>
      <c r="O9" s="17">
        <v>0</v>
      </c>
      <c r="P9" s="17">
        <v>0</v>
      </c>
      <c r="Q9" s="17">
        <v>0</v>
      </c>
      <c r="R9" s="17">
        <f>+Bud!I51</f>
        <v>321</v>
      </c>
    </row>
    <row r="10" spans="2:18" ht="12.75">
      <c r="B10" s="65" t="s">
        <v>211</v>
      </c>
      <c r="C10" s="65"/>
      <c r="D10" s="52"/>
      <c r="E10" s="19" t="s">
        <v>287</v>
      </c>
      <c r="F10" s="19" t="s">
        <v>238</v>
      </c>
      <c r="G10" s="10" t="s">
        <v>232</v>
      </c>
      <c r="H10" s="9" t="s">
        <v>104</v>
      </c>
      <c r="N10" s="51" t="s">
        <v>369</v>
      </c>
      <c r="O10" s="17">
        <f>SUM(O8:O9)</f>
        <v>1036.2643485056392</v>
      </c>
      <c r="P10" s="17">
        <f>SUM(P8:P9)</f>
        <v>950.1649266</v>
      </c>
      <c r="Q10" s="17">
        <f>SUM(Q8:Q9)</f>
        <v>858.0637266</v>
      </c>
      <c r="R10" s="17">
        <f>SUM(R8:R9)</f>
        <v>1438.44364</v>
      </c>
    </row>
    <row r="11" spans="2:18" ht="12.75">
      <c r="B11" s="51" t="s">
        <v>317</v>
      </c>
      <c r="C11" s="51"/>
      <c r="D11" s="51"/>
      <c r="E11" s="52" t="s">
        <v>100</v>
      </c>
      <c r="F11" s="53">
        <v>1</v>
      </c>
      <c r="G11" s="52">
        <v>0</v>
      </c>
      <c r="H11" s="53">
        <f aca="true" t="shared" si="0" ref="H11:H24">F11*G11</f>
        <v>0</v>
      </c>
      <c r="N11" s="51" t="s">
        <v>370</v>
      </c>
      <c r="O11" s="17">
        <f>+H32</f>
        <v>502.3177109425126</v>
      </c>
      <c r="P11" s="17">
        <f>+Yr2!H33</f>
        <v>489.4027976566666</v>
      </c>
      <c r="Q11" s="17">
        <f>+Yr3!H33</f>
        <v>475.5876176566667</v>
      </c>
      <c r="R11" s="17">
        <f>+Bud!I58</f>
        <v>411.442038</v>
      </c>
    </row>
    <row r="12" spans="2:18" ht="12.75">
      <c r="B12" s="51" t="s">
        <v>196</v>
      </c>
      <c r="C12" s="51"/>
      <c r="D12" s="51"/>
      <c r="E12" s="52" t="s">
        <v>261</v>
      </c>
      <c r="F12" s="53">
        <v>1</v>
      </c>
      <c r="G12" s="53">
        <v>30</v>
      </c>
      <c r="H12" s="53">
        <f t="shared" si="0"/>
        <v>30</v>
      </c>
      <c r="N12" s="51" t="s">
        <v>371</v>
      </c>
      <c r="O12" s="17">
        <f>SUM(O10:O11)</f>
        <v>1538.5820594481518</v>
      </c>
      <c r="P12" s="17">
        <f>SUM(P10:P11)</f>
        <v>1439.5677242566667</v>
      </c>
      <c r="Q12" s="17">
        <f>SUM(Q10:Q11)</f>
        <v>1333.6513442566666</v>
      </c>
      <c r="R12" s="17">
        <f>SUM(R10:R11)</f>
        <v>1849.885678</v>
      </c>
    </row>
    <row r="13" spans="2:8" ht="12.75">
      <c r="B13" s="51" t="s">
        <v>146</v>
      </c>
      <c r="C13" s="51"/>
      <c r="D13" s="51"/>
      <c r="E13" s="52" t="s">
        <v>193</v>
      </c>
      <c r="F13" s="53">
        <v>12</v>
      </c>
      <c r="G13" s="53">
        <v>3.33</v>
      </c>
      <c r="H13" s="53">
        <f t="shared" si="0"/>
        <v>39.96</v>
      </c>
    </row>
    <row r="14" spans="2:8" ht="12.75">
      <c r="B14" s="51" t="s">
        <v>304</v>
      </c>
      <c r="C14" s="51"/>
      <c r="D14" s="51"/>
      <c r="E14" s="52" t="s">
        <v>193</v>
      </c>
      <c r="F14" s="53">
        <v>24</v>
      </c>
      <c r="G14" s="53">
        <v>0.35</v>
      </c>
      <c r="H14" s="53">
        <f t="shared" si="0"/>
        <v>8.399999999999999</v>
      </c>
    </row>
    <row r="15" spans="2:8" ht="12.75">
      <c r="B15" s="51" t="s">
        <v>155</v>
      </c>
      <c r="C15" s="51"/>
      <c r="D15" s="51"/>
      <c r="E15" s="52" t="s">
        <v>100</v>
      </c>
      <c r="F15" s="53">
        <v>3</v>
      </c>
      <c r="G15" s="53">
        <v>2</v>
      </c>
      <c r="H15" s="53">
        <f t="shared" si="0"/>
        <v>6</v>
      </c>
    </row>
    <row r="16" spans="2:8" ht="12.75">
      <c r="B16" s="51" t="s">
        <v>167</v>
      </c>
      <c r="C16" s="51"/>
      <c r="D16" s="51"/>
      <c r="E16" s="52" t="s">
        <v>100</v>
      </c>
      <c r="F16" s="53">
        <v>3</v>
      </c>
      <c r="G16" s="53">
        <v>29.25</v>
      </c>
      <c r="H16" s="53">
        <f t="shared" si="0"/>
        <v>87.75</v>
      </c>
    </row>
    <row r="17" spans="2:8" ht="12.75">
      <c r="B17" s="51" t="s">
        <v>252</v>
      </c>
      <c r="C17" s="51"/>
      <c r="D17" s="51"/>
      <c r="E17" s="52" t="s">
        <v>100</v>
      </c>
      <c r="F17" s="53">
        <v>2</v>
      </c>
      <c r="G17" s="53">
        <f>15</f>
        <v>15</v>
      </c>
      <c r="H17" s="53">
        <f t="shared" si="0"/>
        <v>30</v>
      </c>
    </row>
    <row r="18" spans="2:8" ht="12.75">
      <c r="B18" s="51" t="s">
        <v>321</v>
      </c>
      <c r="C18" s="51"/>
      <c r="D18" s="51"/>
      <c r="E18" s="52" t="s">
        <v>282</v>
      </c>
      <c r="F18" s="53">
        <v>27</v>
      </c>
      <c r="G18" s="53">
        <v>19</v>
      </c>
      <c r="H18" s="53">
        <f t="shared" si="0"/>
        <v>513</v>
      </c>
    </row>
    <row r="19" spans="2:8" ht="12.75">
      <c r="B19" s="51" t="s">
        <v>189</v>
      </c>
      <c r="C19" s="51"/>
      <c r="D19" s="51"/>
      <c r="E19" s="52" t="s">
        <v>171</v>
      </c>
      <c r="F19" s="53">
        <v>20</v>
      </c>
      <c r="G19" s="53">
        <v>8</v>
      </c>
      <c r="H19" s="53">
        <f t="shared" si="0"/>
        <v>160</v>
      </c>
    </row>
    <row r="20" spans="2:8" ht="12.75">
      <c r="B20" s="51" t="s">
        <v>58</v>
      </c>
      <c r="C20" s="51"/>
      <c r="D20" s="51"/>
      <c r="E20" s="52" t="s">
        <v>100</v>
      </c>
      <c r="F20" s="53">
        <v>1</v>
      </c>
      <c r="G20" s="53">
        <f>Mach!I16</f>
        <v>29.975172305764413</v>
      </c>
      <c r="H20" s="53">
        <f t="shared" si="0"/>
        <v>29.975172305764413</v>
      </c>
    </row>
    <row r="21" spans="2:8" ht="12.75">
      <c r="B21" s="51" t="s">
        <v>66</v>
      </c>
      <c r="C21" s="51"/>
      <c r="D21" s="51"/>
      <c r="E21" s="52" t="s">
        <v>100</v>
      </c>
      <c r="F21" s="53">
        <v>1</v>
      </c>
      <c r="G21" s="53">
        <v>37</v>
      </c>
      <c r="H21" s="53">
        <f t="shared" si="0"/>
        <v>37</v>
      </c>
    </row>
    <row r="22" spans="2:8" ht="12.75">
      <c r="B22" s="51" t="s">
        <v>184</v>
      </c>
      <c r="C22" s="51"/>
      <c r="D22" s="51"/>
      <c r="E22" s="52" t="s">
        <v>100</v>
      </c>
      <c r="F22" s="53">
        <v>1</v>
      </c>
      <c r="G22" s="53">
        <f>Bud!H40</f>
        <v>32.943639999999995</v>
      </c>
      <c r="H22" s="53">
        <f t="shared" si="0"/>
        <v>32.943639999999995</v>
      </c>
    </row>
    <row r="23" spans="2:8" ht="12.75">
      <c r="B23" s="51" t="s">
        <v>324</v>
      </c>
      <c r="C23" s="51"/>
      <c r="D23" s="51"/>
      <c r="E23" s="52" t="s">
        <v>100</v>
      </c>
      <c r="F23" s="53">
        <v>1</v>
      </c>
      <c r="G23" s="52">
        <v>0</v>
      </c>
      <c r="H23" s="53">
        <f t="shared" si="0"/>
        <v>0</v>
      </c>
    </row>
    <row r="24" spans="2:8" ht="12.75">
      <c r="B24" s="51" t="s">
        <v>180</v>
      </c>
      <c r="C24" s="51"/>
      <c r="D24" s="51"/>
      <c r="E24" s="52"/>
      <c r="F24" s="53">
        <f>SUM(H7:H21)</f>
        <v>942.0851723057644</v>
      </c>
      <c r="G24" s="52">
        <v>0.065</v>
      </c>
      <c r="H24" s="53">
        <f t="shared" si="0"/>
        <v>61.235536199874694</v>
      </c>
    </row>
    <row r="25" spans="2:8" ht="13.5" thickBot="1">
      <c r="B25" s="47" t="s">
        <v>275</v>
      </c>
      <c r="C25" s="51"/>
      <c r="D25" s="51"/>
      <c r="E25" s="52"/>
      <c r="F25" s="52"/>
      <c r="G25" s="52"/>
      <c r="H25" s="79">
        <f>SUM(H12:H24)</f>
        <v>1036.2643485056392</v>
      </c>
    </row>
    <row r="26" spans="2:8" ht="13.5" thickTop="1">
      <c r="B26" s="51"/>
      <c r="C26" s="51"/>
      <c r="D26" s="51"/>
      <c r="E26" s="52"/>
      <c r="F26" s="52"/>
      <c r="G26" s="52"/>
      <c r="H26" s="78"/>
    </row>
    <row r="27" spans="2:8" ht="12.75">
      <c r="B27" s="47" t="s">
        <v>149</v>
      </c>
      <c r="C27" s="47"/>
      <c r="D27" s="51"/>
      <c r="E27" s="52"/>
      <c r="F27" s="52"/>
      <c r="G27" s="52"/>
      <c r="H27" s="52"/>
    </row>
    <row r="28" spans="2:8" ht="12.75">
      <c r="B28" s="51"/>
      <c r="C28" s="51"/>
      <c r="D28" s="51"/>
      <c r="E28" s="52"/>
      <c r="F28" s="52"/>
      <c r="G28" s="52"/>
      <c r="H28" s="52"/>
    </row>
    <row r="29" spans="2:8" ht="12.75">
      <c r="B29" s="51" t="s">
        <v>280</v>
      </c>
      <c r="C29" s="51"/>
      <c r="D29" s="51"/>
      <c r="E29" s="52" t="s">
        <v>100</v>
      </c>
      <c r="F29" s="53">
        <f>FxdCost!I35</f>
        <v>210.881852</v>
      </c>
      <c r="G29" s="53">
        <v>1</v>
      </c>
      <c r="H29" s="53">
        <f>F29*G29</f>
        <v>210.881852</v>
      </c>
    </row>
    <row r="30" spans="2:8" ht="12.75">
      <c r="B30" s="51" t="s">
        <v>201</v>
      </c>
      <c r="C30" s="51"/>
      <c r="D30" s="51"/>
      <c r="E30" s="52" t="s">
        <v>100</v>
      </c>
      <c r="F30" s="53">
        <f>H25</f>
        <v>1036.2643485056392</v>
      </c>
      <c r="G30" s="53">
        <v>0.15</v>
      </c>
      <c r="H30" s="53">
        <f>F30*G30</f>
        <v>155.43965227584587</v>
      </c>
    </row>
    <row r="31" spans="2:8" ht="12.75">
      <c r="B31" s="51" t="s">
        <v>184</v>
      </c>
      <c r="C31" s="51"/>
      <c r="D31" s="51"/>
      <c r="E31" s="52" t="s">
        <v>100</v>
      </c>
      <c r="F31" s="53">
        <v>1</v>
      </c>
      <c r="G31" s="53">
        <f>Drip!I32</f>
        <v>135.99620666666667</v>
      </c>
      <c r="H31" s="53">
        <f>F31*G31</f>
        <v>135.99620666666667</v>
      </c>
    </row>
    <row r="32" spans="2:8" ht="13.5" thickBot="1">
      <c r="B32" s="47" t="s">
        <v>352</v>
      </c>
      <c r="C32" s="51"/>
      <c r="D32" s="51"/>
      <c r="E32" s="52"/>
      <c r="F32" s="52"/>
      <c r="G32" s="52"/>
      <c r="H32" s="79">
        <f>SUM(H29:H31)</f>
        <v>502.3177109425126</v>
      </c>
    </row>
    <row r="33" spans="2:8" ht="13.5" thickTop="1">
      <c r="B33" s="51"/>
      <c r="C33" s="51"/>
      <c r="D33" s="51"/>
      <c r="E33" s="52"/>
      <c r="F33" s="52"/>
      <c r="G33" s="52"/>
      <c r="H33" s="78"/>
    </row>
    <row r="34" spans="2:8" ht="13.5" thickBot="1">
      <c r="B34" s="47" t="s">
        <v>351</v>
      </c>
      <c r="E34" s="7"/>
      <c r="F34" s="7"/>
      <c r="G34" s="7"/>
      <c r="H34" s="68">
        <f>H25+H32</f>
        <v>1538.5820594481518</v>
      </c>
    </row>
    <row r="35" ht="13.5" thickTop="1">
      <c r="H35" s="67"/>
    </row>
    <row r="37" ht="12.75">
      <c r="B37" s="51"/>
    </row>
    <row r="38" ht="12.75">
      <c r="B38" s="1" t="s">
        <v>318</v>
      </c>
    </row>
    <row r="39" ht="12.75">
      <c r="B39" s="1" t="s">
        <v>322</v>
      </c>
    </row>
    <row r="40" spans="1:2" ht="12.75">
      <c r="A40" s="1" t="s">
        <v>90</v>
      </c>
      <c r="B40" s="1" t="s">
        <v>323</v>
      </c>
    </row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H3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93" t="s">
        <v>360</v>
      </c>
    </row>
    <row r="4" spans="2:8" ht="15.75">
      <c r="B4" s="97" t="s">
        <v>140</v>
      </c>
      <c r="C4" s="103"/>
      <c r="D4" s="103"/>
      <c r="E4" s="103"/>
      <c r="F4" s="103"/>
      <c r="G4" s="103"/>
      <c r="H4" s="103"/>
    </row>
    <row r="5" spans="2:8" ht="15.75">
      <c r="B5" s="101" t="s">
        <v>356</v>
      </c>
      <c r="C5" s="103"/>
      <c r="D5" s="103"/>
      <c r="E5" s="103"/>
      <c r="F5" s="103"/>
      <c r="G5" s="103"/>
      <c r="H5" s="103"/>
    </row>
    <row r="8" spans="2:8" ht="12.75">
      <c r="B8" s="15" t="s">
        <v>187</v>
      </c>
      <c r="E8" s="15" t="s">
        <v>287</v>
      </c>
      <c r="F8" s="15" t="s">
        <v>238</v>
      </c>
      <c r="G8" s="27" t="s">
        <v>232</v>
      </c>
      <c r="H8" s="28" t="s">
        <v>104</v>
      </c>
    </row>
    <row r="10" ht="12.75">
      <c r="B10" s="15" t="s">
        <v>211</v>
      </c>
    </row>
    <row r="12" spans="2:8" ht="12.75">
      <c r="B12" s="1" t="s">
        <v>197</v>
      </c>
      <c r="E12" s="1" t="s">
        <v>261</v>
      </c>
      <c r="F12" s="1">
        <v>0.5</v>
      </c>
      <c r="G12" s="17">
        <v>30</v>
      </c>
      <c r="H12" s="17">
        <f aca="true" t="shared" si="0" ref="H12:H25">F12*G12</f>
        <v>15</v>
      </c>
    </row>
    <row r="13" spans="2:8" ht="12.75">
      <c r="B13" s="1" t="s">
        <v>146</v>
      </c>
      <c r="E13" s="1" t="s">
        <v>283</v>
      </c>
      <c r="F13" s="1">
        <v>81</v>
      </c>
      <c r="G13" s="17">
        <f>Yr1!G13</f>
        <v>3.33</v>
      </c>
      <c r="H13" s="17">
        <f t="shared" si="0"/>
        <v>269.73</v>
      </c>
    </row>
    <row r="14" spans="2:8" ht="12.75">
      <c r="B14" s="1" t="s">
        <v>305</v>
      </c>
      <c r="E14" s="1" t="s">
        <v>193</v>
      </c>
      <c r="F14" s="1">
        <v>35</v>
      </c>
      <c r="G14" s="17">
        <f>Yr1!G14</f>
        <v>0.35</v>
      </c>
      <c r="H14" s="17">
        <f t="shared" si="0"/>
        <v>12.25</v>
      </c>
    </row>
    <row r="15" spans="2:8" ht="12.75">
      <c r="B15" s="1" t="s">
        <v>155</v>
      </c>
      <c r="E15" s="1" t="s">
        <v>100</v>
      </c>
      <c r="F15" s="1">
        <v>2</v>
      </c>
      <c r="G15" s="17">
        <v>2</v>
      </c>
      <c r="H15" s="17">
        <f t="shared" si="0"/>
        <v>4</v>
      </c>
    </row>
    <row r="16" spans="2:8" ht="12.75">
      <c r="B16" s="1" t="s">
        <v>167</v>
      </c>
      <c r="E16" s="1" t="s">
        <v>110</v>
      </c>
      <c r="F16" s="1">
        <v>3</v>
      </c>
      <c r="G16" s="17">
        <f>Yr1!G16</f>
        <v>29.25</v>
      </c>
      <c r="H16" s="17">
        <f t="shared" si="0"/>
        <v>87.75</v>
      </c>
    </row>
    <row r="17" spans="2:8" ht="12.75">
      <c r="B17" s="1" t="s">
        <v>283</v>
      </c>
      <c r="E17" s="1" t="s">
        <v>100</v>
      </c>
      <c r="F17" s="1">
        <v>2</v>
      </c>
      <c r="G17" s="17">
        <v>15</v>
      </c>
      <c r="H17" s="17">
        <f t="shared" si="0"/>
        <v>30</v>
      </c>
    </row>
    <row r="18" spans="2:8" ht="12.75">
      <c r="B18" s="1" t="s">
        <v>159</v>
      </c>
      <c r="E18" s="1" t="s">
        <v>110</v>
      </c>
      <c r="F18" s="1">
        <v>3</v>
      </c>
      <c r="G18" s="17">
        <v>12</v>
      </c>
      <c r="H18" s="17">
        <f t="shared" si="0"/>
        <v>36</v>
      </c>
    </row>
    <row r="19" spans="2:8" ht="12.75">
      <c r="B19" s="1" t="s">
        <v>173</v>
      </c>
      <c r="E19" s="1" t="s">
        <v>110</v>
      </c>
      <c r="F19" s="1">
        <v>3</v>
      </c>
      <c r="G19" s="17">
        <v>25</v>
      </c>
      <c r="H19" s="17">
        <f t="shared" si="0"/>
        <v>75</v>
      </c>
    </row>
    <row r="20" spans="2:8" ht="12.75">
      <c r="B20" s="1" t="s">
        <v>189</v>
      </c>
      <c r="E20" s="1" t="s">
        <v>171</v>
      </c>
      <c r="F20" s="1">
        <v>20</v>
      </c>
      <c r="G20" s="17">
        <v>10</v>
      </c>
      <c r="H20" s="17">
        <f t="shared" si="0"/>
        <v>200</v>
      </c>
    </row>
    <row r="21" spans="2:8" ht="12.75">
      <c r="B21" s="1" t="s">
        <v>157</v>
      </c>
      <c r="E21" s="1" t="s">
        <v>100</v>
      </c>
      <c r="F21" s="17">
        <v>37</v>
      </c>
      <c r="G21" s="17">
        <v>2.5</v>
      </c>
      <c r="H21" s="17">
        <f t="shared" si="0"/>
        <v>92.5</v>
      </c>
    </row>
    <row r="22" spans="2:8" ht="12.75">
      <c r="B22" s="1" t="s">
        <v>241</v>
      </c>
      <c r="E22" s="1" t="s">
        <v>100</v>
      </c>
      <c r="F22" s="1">
        <v>1</v>
      </c>
      <c r="G22" s="17">
        <v>37</v>
      </c>
      <c r="H22" s="17">
        <f t="shared" si="0"/>
        <v>37</v>
      </c>
    </row>
    <row r="23" spans="2:8" ht="12.75">
      <c r="B23" s="1" t="s">
        <v>184</v>
      </c>
      <c r="E23" s="1" t="s">
        <v>100</v>
      </c>
      <c r="F23" s="1">
        <v>1</v>
      </c>
      <c r="G23" s="17">
        <f>Bud!H40</f>
        <v>32.943639999999995</v>
      </c>
      <c r="H23" s="17">
        <f t="shared" si="0"/>
        <v>32.943639999999995</v>
      </c>
    </row>
    <row r="24" spans="2:8" ht="12.75">
      <c r="B24" s="1" t="s">
        <v>191</v>
      </c>
      <c r="E24" s="1" t="s">
        <v>100</v>
      </c>
      <c r="F24" s="1">
        <v>1</v>
      </c>
      <c r="G24" s="1">
        <v>0</v>
      </c>
      <c r="H24" s="17">
        <f t="shared" si="0"/>
        <v>0</v>
      </c>
    </row>
    <row r="25" spans="2:8" ht="12.75">
      <c r="B25" s="1" t="s">
        <v>180</v>
      </c>
      <c r="F25" s="8">
        <f>SUM(H9:H24)</f>
        <v>892.17364</v>
      </c>
      <c r="G25" s="1">
        <v>0.065</v>
      </c>
      <c r="H25" s="17">
        <f t="shared" si="0"/>
        <v>57.9912866</v>
      </c>
    </row>
    <row r="26" spans="2:8" ht="13.5" thickBot="1">
      <c r="B26" s="15" t="s">
        <v>277</v>
      </c>
      <c r="H26" s="81">
        <f>SUM(H12:H25)</f>
        <v>950.1649266</v>
      </c>
    </row>
    <row r="27" ht="13.5" thickTop="1">
      <c r="H27" s="67"/>
    </row>
    <row r="28" ht="12.75">
      <c r="B28" s="15" t="s">
        <v>149</v>
      </c>
    </row>
    <row r="30" spans="2:8" ht="12.75">
      <c r="B30" s="1" t="s">
        <v>280</v>
      </c>
      <c r="E30" s="1" t="s">
        <v>73</v>
      </c>
      <c r="F30" s="1">
        <v>1</v>
      </c>
      <c r="G30" s="17">
        <f>FxdCost!I35</f>
        <v>210.881852</v>
      </c>
      <c r="H30" s="17">
        <f>F30*G30</f>
        <v>210.881852</v>
      </c>
    </row>
    <row r="31" spans="2:8" ht="12.75">
      <c r="B31" s="1" t="s">
        <v>162</v>
      </c>
      <c r="E31" s="1" t="s">
        <v>73</v>
      </c>
      <c r="F31" s="17">
        <f>H26</f>
        <v>950.1649266</v>
      </c>
      <c r="G31" s="17">
        <v>0.15</v>
      </c>
      <c r="H31" s="17">
        <f>H26*G31</f>
        <v>142.52473898999997</v>
      </c>
    </row>
    <row r="32" spans="2:8" ht="12.75">
      <c r="B32" s="1" t="s">
        <v>184</v>
      </c>
      <c r="E32" s="1" t="s">
        <v>100</v>
      </c>
      <c r="F32" s="1">
        <v>1</v>
      </c>
      <c r="G32" s="17">
        <f>Drip!I32</f>
        <v>135.99620666666667</v>
      </c>
      <c r="H32" s="17">
        <f>F32*G32</f>
        <v>135.99620666666667</v>
      </c>
    </row>
    <row r="33" spans="2:8" ht="13.5" thickBot="1">
      <c r="B33" s="47" t="s">
        <v>355</v>
      </c>
      <c r="E33" s="51" t="s">
        <v>73</v>
      </c>
      <c r="H33" s="81">
        <f>SUM(H30:H32)</f>
        <v>489.4027976566666</v>
      </c>
    </row>
    <row r="34" ht="13.5" thickTop="1">
      <c r="H34" s="67"/>
    </row>
    <row r="35" spans="2:8" ht="13.5" thickBot="1">
      <c r="B35" s="47" t="s">
        <v>354</v>
      </c>
      <c r="C35" s="47"/>
      <c r="D35" s="47"/>
      <c r="E35" s="47" t="s">
        <v>73</v>
      </c>
      <c r="F35" s="47"/>
      <c r="G35" s="47"/>
      <c r="H35" s="80">
        <f>H26+H33</f>
        <v>1439.5677242566667</v>
      </c>
    </row>
    <row r="36" ht="13.5" thickTop="1">
      <c r="H36" s="67"/>
    </row>
    <row r="39" ht="12.75">
      <c r="A39" s="1" t="s">
        <v>90</v>
      </c>
    </row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57"/>
  <sheetViews>
    <sheetView zoomScalePageLayoutView="0" workbookViewId="0" topLeftCell="A1">
      <selection activeCell="B2" sqref="B2"/>
    </sheetView>
  </sheetViews>
  <sheetFormatPr defaultColWidth="10.57421875" defaultRowHeight="12.75"/>
  <cols>
    <col min="1" max="1" width="10.57421875" style="1" customWidth="1"/>
    <col min="2" max="2" width="35.140625" style="1" customWidth="1"/>
    <col min="3" max="3" width="2.57421875" style="1" customWidth="1"/>
    <col min="4" max="16384" width="10.57421875" style="1" customWidth="1"/>
  </cols>
  <sheetData>
    <row r="2" ht="12.75">
      <c r="B2" s="93" t="s">
        <v>360</v>
      </c>
    </row>
    <row r="4" spans="2:8" ht="15.75">
      <c r="B4" s="97" t="s">
        <v>141</v>
      </c>
      <c r="C4" s="103"/>
      <c r="D4" s="103"/>
      <c r="E4" s="103"/>
      <c r="F4" s="103"/>
      <c r="G4" s="103"/>
      <c r="H4" s="103"/>
    </row>
    <row r="5" spans="2:8" ht="15.75">
      <c r="B5" s="101" t="s">
        <v>358</v>
      </c>
      <c r="C5" s="103"/>
      <c r="D5" s="103"/>
      <c r="E5" s="103"/>
      <c r="F5" s="103"/>
      <c r="G5" s="103"/>
      <c r="H5" s="103"/>
    </row>
    <row r="7" spans="2:8" ht="12.75">
      <c r="B7" s="19" t="s">
        <v>187</v>
      </c>
      <c r="C7" s="19"/>
      <c r="D7" s="19"/>
      <c r="E7" s="19" t="s">
        <v>287</v>
      </c>
      <c r="F7" s="19" t="s">
        <v>238</v>
      </c>
      <c r="G7" s="10" t="s">
        <v>232</v>
      </c>
      <c r="H7" s="9" t="s">
        <v>104</v>
      </c>
    </row>
    <row r="9" ht="12.75">
      <c r="B9" s="47" t="s">
        <v>211</v>
      </c>
    </row>
    <row r="11" spans="2:8" ht="12.75">
      <c r="B11" s="1" t="s">
        <v>197</v>
      </c>
      <c r="E11" s="7" t="s">
        <v>261</v>
      </c>
      <c r="F11" s="1">
        <v>0.5</v>
      </c>
      <c r="G11" s="17">
        <v>30</v>
      </c>
      <c r="H11" s="17">
        <f aca="true" t="shared" si="0" ref="H11:H25">F11*G11</f>
        <v>15</v>
      </c>
    </row>
    <row r="12" spans="2:8" ht="12.75">
      <c r="B12" s="1" t="s">
        <v>103</v>
      </c>
      <c r="E12" s="7" t="s">
        <v>193</v>
      </c>
      <c r="F12" s="1">
        <v>100</v>
      </c>
      <c r="G12" s="17">
        <v>0.48</v>
      </c>
      <c r="H12" s="17">
        <f t="shared" si="0"/>
        <v>48</v>
      </c>
    </row>
    <row r="13" spans="2:8" ht="12.75">
      <c r="B13" s="1" t="s">
        <v>222</v>
      </c>
      <c r="E13" s="7" t="s">
        <v>100</v>
      </c>
      <c r="F13" s="1">
        <v>40</v>
      </c>
      <c r="G13" s="17">
        <v>0.51</v>
      </c>
      <c r="H13" s="17">
        <f t="shared" si="0"/>
        <v>20.4</v>
      </c>
    </row>
    <row r="14" spans="2:8" ht="12.75">
      <c r="B14" s="1" t="s">
        <v>226</v>
      </c>
      <c r="E14" s="7" t="s">
        <v>100</v>
      </c>
      <c r="F14" s="1">
        <v>40</v>
      </c>
      <c r="G14" s="17">
        <v>0.39</v>
      </c>
      <c r="H14" s="17">
        <f t="shared" si="0"/>
        <v>15.600000000000001</v>
      </c>
    </row>
    <row r="15" spans="2:8" ht="12.75">
      <c r="B15" s="1" t="s">
        <v>305</v>
      </c>
      <c r="E15" s="7" t="s">
        <v>193</v>
      </c>
      <c r="F15" s="1">
        <v>50</v>
      </c>
      <c r="G15" s="17">
        <f>Yr1!G14</f>
        <v>0.35</v>
      </c>
      <c r="H15" s="17">
        <f t="shared" si="0"/>
        <v>17.5</v>
      </c>
    </row>
    <row r="16" spans="2:8" ht="12.75">
      <c r="B16" s="1" t="s">
        <v>155</v>
      </c>
      <c r="E16" s="7" t="s">
        <v>110</v>
      </c>
      <c r="F16" s="1">
        <v>3</v>
      </c>
      <c r="G16" s="17">
        <v>2</v>
      </c>
      <c r="H16" s="17">
        <f t="shared" si="0"/>
        <v>6</v>
      </c>
    </row>
    <row r="17" spans="2:8" ht="12.75">
      <c r="B17" s="1" t="s">
        <v>159</v>
      </c>
      <c r="E17" s="7" t="s">
        <v>110</v>
      </c>
      <c r="F17" s="1">
        <v>4</v>
      </c>
      <c r="G17" s="17">
        <v>12</v>
      </c>
      <c r="H17" s="17">
        <f t="shared" si="0"/>
        <v>48</v>
      </c>
    </row>
    <row r="18" spans="2:8" ht="12.75">
      <c r="B18" s="1" t="s">
        <v>167</v>
      </c>
      <c r="E18" s="7" t="s">
        <v>110</v>
      </c>
      <c r="F18" s="1">
        <v>3</v>
      </c>
      <c r="G18" s="17">
        <v>29.25</v>
      </c>
      <c r="H18" s="17">
        <f t="shared" si="0"/>
        <v>87.75</v>
      </c>
    </row>
    <row r="19" spans="2:8" ht="12.75">
      <c r="B19" s="1" t="s">
        <v>174</v>
      </c>
      <c r="E19" s="7" t="s">
        <v>110</v>
      </c>
      <c r="F19" s="1">
        <v>5</v>
      </c>
      <c r="G19" s="17">
        <v>25</v>
      </c>
      <c r="H19" s="17">
        <f t="shared" si="0"/>
        <v>125</v>
      </c>
    </row>
    <row r="20" spans="2:8" ht="12.75">
      <c r="B20" s="1" t="s">
        <v>283</v>
      </c>
      <c r="E20" s="7" t="s">
        <v>283</v>
      </c>
      <c r="F20" s="1">
        <v>2</v>
      </c>
      <c r="G20" s="17">
        <v>15</v>
      </c>
      <c r="H20" s="17">
        <f t="shared" si="0"/>
        <v>30</v>
      </c>
    </row>
    <row r="21" spans="2:8" ht="12.75">
      <c r="B21" s="1" t="s">
        <v>189</v>
      </c>
      <c r="E21" s="7" t="s">
        <v>171</v>
      </c>
      <c r="F21" s="1">
        <v>23</v>
      </c>
      <c r="G21" s="17">
        <v>10</v>
      </c>
      <c r="H21" s="17">
        <f t="shared" si="0"/>
        <v>230</v>
      </c>
    </row>
    <row r="22" spans="2:8" ht="12.75">
      <c r="B22" s="1" t="s">
        <v>157</v>
      </c>
      <c r="E22" s="7" t="s">
        <v>100</v>
      </c>
      <c r="F22" s="17">
        <v>37</v>
      </c>
      <c r="G22" s="17">
        <v>2.5</v>
      </c>
      <c r="H22" s="17">
        <f t="shared" si="0"/>
        <v>92.5</v>
      </c>
    </row>
    <row r="23" spans="2:8" ht="12.75">
      <c r="B23" s="1" t="s">
        <v>244</v>
      </c>
      <c r="E23" s="7" t="s">
        <v>100</v>
      </c>
      <c r="F23" s="1">
        <v>1</v>
      </c>
      <c r="G23" s="17">
        <v>37</v>
      </c>
      <c r="H23" s="17">
        <f t="shared" si="0"/>
        <v>37</v>
      </c>
    </row>
    <row r="24" spans="2:8" ht="12.75">
      <c r="B24" s="1" t="s">
        <v>183</v>
      </c>
      <c r="E24" s="7" t="s">
        <v>100</v>
      </c>
      <c r="F24" s="1">
        <v>1</v>
      </c>
      <c r="G24" s="17">
        <f>Bud!H40</f>
        <v>32.943639999999995</v>
      </c>
      <c r="H24" s="17">
        <f t="shared" si="0"/>
        <v>32.943639999999995</v>
      </c>
    </row>
    <row r="25" spans="2:8" ht="12.75">
      <c r="B25" s="1" t="s">
        <v>180</v>
      </c>
      <c r="E25" s="7"/>
      <c r="F25" s="8">
        <f>SUM(H10:H24)</f>
        <v>805.69364</v>
      </c>
      <c r="G25" s="1">
        <v>0.065</v>
      </c>
      <c r="H25" s="17">
        <f t="shared" si="0"/>
        <v>52.3700866</v>
      </c>
    </row>
    <row r="26" spans="2:8" ht="13.5" thickBot="1">
      <c r="B26" s="15" t="s">
        <v>276</v>
      </c>
      <c r="E26" s="7"/>
      <c r="H26" s="81">
        <f>SUM(H11:H25)</f>
        <v>858.0637266</v>
      </c>
    </row>
    <row r="27" ht="13.5" thickTop="1">
      <c r="H27" s="67"/>
    </row>
    <row r="28" ht="12.75">
      <c r="B28" s="15" t="s">
        <v>149</v>
      </c>
    </row>
    <row r="30" spans="2:8" ht="12.75">
      <c r="B30" s="1" t="s">
        <v>281</v>
      </c>
      <c r="E30" s="7" t="s">
        <v>73</v>
      </c>
      <c r="F30" s="1">
        <v>1</v>
      </c>
      <c r="G30" s="17">
        <f>FxdCost!I35</f>
        <v>210.881852</v>
      </c>
      <c r="H30" s="17">
        <f>F30*G30</f>
        <v>210.881852</v>
      </c>
    </row>
    <row r="31" spans="2:8" ht="12.75">
      <c r="B31" s="1" t="s">
        <v>162</v>
      </c>
      <c r="E31" s="7" t="s">
        <v>73</v>
      </c>
      <c r="F31" s="17">
        <f>H26</f>
        <v>858.0637266</v>
      </c>
      <c r="G31" s="17">
        <v>0.15</v>
      </c>
      <c r="H31" s="17">
        <f>H26*G31</f>
        <v>128.70955899</v>
      </c>
    </row>
    <row r="32" spans="2:8" ht="12.75">
      <c r="B32" s="1" t="s">
        <v>184</v>
      </c>
      <c r="E32" s="7" t="s">
        <v>73</v>
      </c>
      <c r="F32" s="1">
        <v>1</v>
      </c>
      <c r="G32" s="17">
        <f>Drip!I32</f>
        <v>135.99620666666667</v>
      </c>
      <c r="H32" s="17">
        <f>F32*G32</f>
        <v>135.99620666666667</v>
      </c>
    </row>
    <row r="33" spans="2:8" ht="13.5" thickBot="1">
      <c r="B33" s="47" t="s">
        <v>357</v>
      </c>
      <c r="E33" s="7"/>
      <c r="H33" s="81">
        <f>SUM(H30:H32)</f>
        <v>475.5876176566667</v>
      </c>
    </row>
    <row r="34" spans="5:8" ht="13.5" thickTop="1">
      <c r="E34" s="7"/>
      <c r="H34" s="82"/>
    </row>
    <row r="35" spans="2:8" ht="13.5" thickBot="1">
      <c r="B35" s="47" t="s">
        <v>354</v>
      </c>
      <c r="E35" s="52" t="s">
        <v>73</v>
      </c>
      <c r="H35" s="81">
        <f>H26+H33</f>
        <v>1333.6513442566666</v>
      </c>
    </row>
    <row r="36" ht="13.5" thickTop="1">
      <c r="H36" s="82"/>
    </row>
    <row r="41" spans="2:8" ht="15.75">
      <c r="B41" s="97"/>
      <c r="C41" s="103"/>
      <c r="D41" s="103"/>
      <c r="E41" s="103"/>
      <c r="F41" s="103"/>
      <c r="G41" s="103"/>
      <c r="H41" s="103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1" spans="6:8" ht="12.75">
      <c r="F51" s="17"/>
      <c r="G51" s="12"/>
      <c r="H51" s="12"/>
    </row>
    <row r="52" spans="2:8" ht="12.75">
      <c r="B52" s="15"/>
      <c r="H52" s="28"/>
    </row>
    <row r="56" spans="2:8" ht="12.75">
      <c r="B56" s="15"/>
      <c r="H56" s="28"/>
    </row>
    <row r="57" ht="12.75">
      <c r="A57" s="1" t="s">
        <v>90</v>
      </c>
    </row>
  </sheetData>
  <sheetProtection/>
  <mergeCells count="3">
    <mergeCell ref="B4:H4"/>
    <mergeCell ref="B5:H5"/>
    <mergeCell ref="B41:H41"/>
  </mergeCells>
  <printOptions/>
  <pageMargins left="0.75" right="0.75" top="1" bottom="1" header="0.5" footer="0.5"/>
  <pageSetup horizontalDpi="600" verticalDpi="600" orientation="portrait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4.8515625" style="1" customWidth="1"/>
    <col min="2" max="2" width="10.28125" style="1" customWidth="1"/>
    <col min="3" max="16384" width="9.140625" style="1" customWidth="1"/>
  </cols>
  <sheetData>
    <row r="2" ht="12.75">
      <c r="B2" s="93" t="s">
        <v>360</v>
      </c>
    </row>
    <row r="4" spans="3:8" ht="15.75">
      <c r="C4" s="104" t="s">
        <v>373</v>
      </c>
      <c r="D4" s="99"/>
      <c r="E4" s="99"/>
      <c r="F4" s="99"/>
      <c r="G4" s="99"/>
      <c r="H4" s="99"/>
    </row>
    <row r="7" spans="2:9" ht="12.75">
      <c r="B7" s="10" t="s">
        <v>186</v>
      </c>
      <c r="C7" s="7"/>
      <c r="D7" s="10" t="s">
        <v>286</v>
      </c>
      <c r="E7" s="10" t="s">
        <v>239</v>
      </c>
      <c r="F7" s="7"/>
      <c r="G7" s="10" t="s">
        <v>231</v>
      </c>
      <c r="H7" s="7"/>
      <c r="I7" s="10" t="s">
        <v>105</v>
      </c>
    </row>
    <row r="8" spans="7:9" ht="12.75">
      <c r="G8" s="18"/>
      <c r="I8" s="18"/>
    </row>
    <row r="9" spans="2:9" ht="12.75">
      <c r="B9" s="1" t="s">
        <v>166</v>
      </c>
      <c r="D9" s="1" t="s">
        <v>111</v>
      </c>
      <c r="E9" s="1">
        <v>1</v>
      </c>
      <c r="G9" s="30">
        <v>40</v>
      </c>
      <c r="I9" s="30">
        <f>E9*G9</f>
        <v>40</v>
      </c>
    </row>
    <row r="10" spans="2:9" ht="12.75">
      <c r="B10" s="51" t="s">
        <v>325</v>
      </c>
      <c r="D10" s="1" t="s">
        <v>111</v>
      </c>
      <c r="E10" s="1">
        <v>1</v>
      </c>
      <c r="G10" s="30">
        <v>35</v>
      </c>
      <c r="I10" s="30">
        <f>E10*G10</f>
        <v>35</v>
      </c>
    </row>
    <row r="11" spans="2:9" ht="12.75">
      <c r="B11" s="51" t="s">
        <v>326</v>
      </c>
      <c r="D11" s="1" t="s">
        <v>111</v>
      </c>
      <c r="E11" s="1">
        <v>1</v>
      </c>
      <c r="G11" s="30">
        <v>12</v>
      </c>
      <c r="I11" s="30">
        <f>E11*G11</f>
        <v>12</v>
      </c>
    </row>
    <row r="12" spans="2:9" ht="13.5" thickBot="1">
      <c r="B12" s="47" t="s">
        <v>328</v>
      </c>
      <c r="C12" s="47"/>
      <c r="D12" s="47"/>
      <c r="E12" s="47"/>
      <c r="F12" s="47"/>
      <c r="G12" s="61"/>
      <c r="H12" s="47"/>
      <c r="I12" s="84">
        <f>SUM(I9:I11)</f>
        <v>87</v>
      </c>
    </row>
    <row r="13" spans="7:9" ht="13.5" thickTop="1">
      <c r="G13" s="30"/>
      <c r="I13" s="83"/>
    </row>
    <row r="14" spans="2:9" ht="12.75">
      <c r="B14" s="51" t="s">
        <v>327</v>
      </c>
      <c r="D14" s="1" t="s">
        <v>111</v>
      </c>
      <c r="E14" s="1">
        <v>1</v>
      </c>
      <c r="G14" s="30">
        <v>18</v>
      </c>
      <c r="I14" s="30">
        <v>18</v>
      </c>
    </row>
    <row r="15" spans="2:9" ht="12.75">
      <c r="B15" s="1" t="s">
        <v>173</v>
      </c>
      <c r="D15" s="1" t="s">
        <v>111</v>
      </c>
      <c r="E15" s="1">
        <v>3</v>
      </c>
      <c r="G15" s="30">
        <v>11</v>
      </c>
      <c r="I15" s="30">
        <f>E15*G15</f>
        <v>33</v>
      </c>
    </row>
    <row r="16" spans="2:9" ht="12.75">
      <c r="B16" s="1" t="s">
        <v>173</v>
      </c>
      <c r="D16" s="1" t="s">
        <v>111</v>
      </c>
      <c r="E16" s="1">
        <v>1</v>
      </c>
      <c r="G16" s="30">
        <v>7.65</v>
      </c>
      <c r="I16" s="30">
        <f>E16*G16</f>
        <v>7.65</v>
      </c>
    </row>
    <row r="17" spans="2:9" ht="12.75">
      <c r="B17" s="1" t="s">
        <v>173</v>
      </c>
      <c r="D17" s="1" t="s">
        <v>111</v>
      </c>
      <c r="E17" s="1">
        <v>3</v>
      </c>
      <c r="G17" s="30">
        <v>14</v>
      </c>
      <c r="I17" s="30">
        <f>E17*G17</f>
        <v>42</v>
      </c>
    </row>
    <row r="18" spans="2:9" ht="12.75">
      <c r="B18" s="1" t="s">
        <v>173</v>
      </c>
      <c r="D18" s="1" t="s">
        <v>111</v>
      </c>
      <c r="E18" s="1">
        <v>0</v>
      </c>
      <c r="G18" s="30">
        <v>0</v>
      </c>
      <c r="I18" s="30">
        <f>E18*G18</f>
        <v>0</v>
      </c>
    </row>
    <row r="19" spans="2:9" ht="13.5" thickBot="1">
      <c r="B19" s="47" t="s">
        <v>262</v>
      </c>
      <c r="C19" s="47"/>
      <c r="D19" s="47"/>
      <c r="E19" s="47"/>
      <c r="F19" s="47"/>
      <c r="G19" s="61"/>
      <c r="H19" s="47"/>
      <c r="I19" s="84">
        <f>SUM(I14:I18)</f>
        <v>100.65</v>
      </c>
    </row>
    <row r="20" spans="7:9" ht="13.5" thickTop="1">
      <c r="G20" s="30"/>
      <c r="I20" s="83"/>
    </row>
    <row r="21" spans="2:9" ht="12.75">
      <c r="B21" s="1" t="s">
        <v>158</v>
      </c>
      <c r="D21" s="1" t="s">
        <v>111</v>
      </c>
      <c r="E21" s="1">
        <v>5</v>
      </c>
      <c r="G21" s="30">
        <v>10</v>
      </c>
      <c r="I21" s="30">
        <f aca="true" t="shared" si="0" ref="I21:I26">E21*G21</f>
        <v>50</v>
      </c>
    </row>
    <row r="22" spans="2:9" ht="12.75">
      <c r="B22" s="1" t="s">
        <v>158</v>
      </c>
      <c r="D22" s="1" t="s">
        <v>111</v>
      </c>
      <c r="E22" s="1">
        <v>5</v>
      </c>
      <c r="G22" s="30">
        <v>14</v>
      </c>
      <c r="I22" s="30">
        <f t="shared" si="0"/>
        <v>70</v>
      </c>
    </row>
    <row r="23" spans="2:9" ht="12.75">
      <c r="B23" s="1" t="s">
        <v>158</v>
      </c>
      <c r="D23" s="1" t="s">
        <v>111</v>
      </c>
      <c r="E23" s="1">
        <v>0</v>
      </c>
      <c r="G23" s="30">
        <v>0</v>
      </c>
      <c r="I23" s="30">
        <f t="shared" si="0"/>
        <v>0</v>
      </c>
    </row>
    <row r="24" spans="2:9" ht="12.75">
      <c r="B24" s="1" t="s">
        <v>158</v>
      </c>
      <c r="D24" s="1" t="s">
        <v>111</v>
      </c>
      <c r="E24" s="1">
        <v>0</v>
      </c>
      <c r="G24" s="30">
        <v>0</v>
      </c>
      <c r="I24" s="30">
        <f t="shared" si="0"/>
        <v>0</v>
      </c>
    </row>
    <row r="25" spans="2:9" ht="12.75">
      <c r="B25" s="1" t="s">
        <v>158</v>
      </c>
      <c r="D25" s="1" t="s">
        <v>111</v>
      </c>
      <c r="E25" s="1">
        <v>0</v>
      </c>
      <c r="G25" s="30">
        <v>0</v>
      </c>
      <c r="I25" s="30">
        <f t="shared" si="0"/>
        <v>0</v>
      </c>
    </row>
    <row r="26" spans="2:9" ht="12.75">
      <c r="B26" s="1" t="s">
        <v>158</v>
      </c>
      <c r="D26" s="1" t="s">
        <v>111</v>
      </c>
      <c r="E26" s="1">
        <v>0</v>
      </c>
      <c r="G26" s="30">
        <v>0</v>
      </c>
      <c r="I26" s="30">
        <f t="shared" si="0"/>
        <v>0</v>
      </c>
    </row>
    <row r="27" spans="2:9" ht="13.5" thickBot="1">
      <c r="B27" s="47" t="s">
        <v>262</v>
      </c>
      <c r="G27" s="30"/>
      <c r="I27" s="84">
        <f>SUM(I21:I26)</f>
        <v>120</v>
      </c>
    </row>
    <row r="28" spans="7:9" ht="13.5" thickTop="1">
      <c r="G28" s="30"/>
      <c r="I28" s="83"/>
    </row>
    <row r="29" spans="2:9" ht="12.75">
      <c r="B29" s="1" t="s">
        <v>214</v>
      </c>
      <c r="D29" s="1" t="s">
        <v>111</v>
      </c>
      <c r="E29" s="1">
        <v>0</v>
      </c>
      <c r="G29" s="30">
        <v>0</v>
      </c>
      <c r="I29" s="30">
        <f>E29*G29</f>
        <v>0</v>
      </c>
    </row>
    <row r="30" spans="2:9" ht="12.75">
      <c r="B30" s="1" t="s">
        <v>214</v>
      </c>
      <c r="D30" s="1" t="s">
        <v>111</v>
      </c>
      <c r="E30" s="1">
        <v>0</v>
      </c>
      <c r="G30" s="30">
        <v>0</v>
      </c>
      <c r="I30" s="30">
        <f>E30*G30</f>
        <v>0</v>
      </c>
    </row>
    <row r="31" spans="2:9" ht="12.75">
      <c r="B31" s="1" t="s">
        <v>214</v>
      </c>
      <c r="D31" s="1" t="s">
        <v>111</v>
      </c>
      <c r="E31" s="1">
        <v>0</v>
      </c>
      <c r="G31" s="30">
        <v>0</v>
      </c>
      <c r="I31" s="30">
        <f>E31*G31</f>
        <v>0</v>
      </c>
    </row>
    <row r="32" spans="2:9" ht="12.75">
      <c r="B32" s="1" t="s">
        <v>214</v>
      </c>
      <c r="D32" s="1" t="s">
        <v>111</v>
      </c>
      <c r="E32" s="1">
        <v>0</v>
      </c>
      <c r="G32" s="30">
        <v>0</v>
      </c>
      <c r="I32" s="30">
        <f>E32*G32</f>
        <v>0</v>
      </c>
    </row>
    <row r="33" spans="2:9" ht="12.75">
      <c r="B33" s="47" t="s">
        <v>328</v>
      </c>
      <c r="C33" s="47"/>
      <c r="D33" s="47"/>
      <c r="E33" s="47"/>
      <c r="F33" s="47"/>
      <c r="G33" s="61"/>
      <c r="H33" s="47"/>
      <c r="I33" s="61">
        <v>0</v>
      </c>
    </row>
    <row r="34" spans="2:9" ht="13.5" thickBot="1">
      <c r="B34" s="48" t="s">
        <v>329</v>
      </c>
      <c r="G34" s="30"/>
      <c r="I34" s="86">
        <f>I12+I19+I27+I33</f>
        <v>307.65</v>
      </c>
    </row>
    <row r="35" ht="13.5" thickTop="1">
      <c r="I35" s="85"/>
    </row>
    <row r="36" spans="1:9" ht="12.75">
      <c r="A36" s="1" t="s">
        <v>90</v>
      </c>
      <c r="I36" s="31"/>
    </row>
    <row r="37" ht="12.75">
      <c r="I37" s="31"/>
    </row>
    <row r="38" ht="12.75">
      <c r="I38" s="31"/>
    </row>
    <row r="39" ht="12.75">
      <c r="I39" s="31"/>
    </row>
    <row r="40" ht="12.75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12.75">
      <c r="I45" s="31"/>
    </row>
    <row r="46" ht="12.75">
      <c r="I46" s="31"/>
    </row>
    <row r="47" ht="12.75">
      <c r="I47" s="31"/>
    </row>
    <row r="48" ht="12.75">
      <c r="I48" s="31"/>
    </row>
    <row r="49" ht="12.75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19.57421875" style="1" customWidth="1"/>
    <col min="5" max="5" width="8.28125" style="1" customWidth="1"/>
    <col min="6" max="7" width="8.140625" style="1" customWidth="1"/>
    <col min="8" max="8" width="7.710937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93" t="s">
        <v>360</v>
      </c>
      <c r="D2" s="8"/>
      <c r="E2" s="8"/>
      <c r="F2" s="8"/>
      <c r="G2" s="8"/>
      <c r="H2" s="8"/>
      <c r="I2" s="8"/>
      <c r="J2" s="8"/>
      <c r="K2" s="8"/>
    </row>
    <row r="3" spans="4:11" ht="12.75">
      <c r="D3" s="8"/>
      <c r="E3" s="8"/>
      <c r="F3" s="8"/>
      <c r="G3" s="8"/>
      <c r="H3" s="8"/>
      <c r="I3" s="8"/>
      <c r="J3" s="8"/>
      <c r="K3" s="8"/>
    </row>
    <row r="4" spans="4:11" ht="15.75">
      <c r="D4" s="29" t="s">
        <v>361</v>
      </c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139</v>
      </c>
      <c r="E6" s="8" t="s">
        <v>147</v>
      </c>
      <c r="F6" s="6" t="s">
        <v>147</v>
      </c>
      <c r="G6" s="8" t="s">
        <v>101</v>
      </c>
      <c r="H6" s="8" t="s">
        <v>209</v>
      </c>
      <c r="I6" s="8" t="s">
        <v>157</v>
      </c>
      <c r="J6" s="8" t="s">
        <v>199</v>
      </c>
      <c r="K6" s="8" t="s">
        <v>189</v>
      </c>
    </row>
    <row r="7" spans="4:11" ht="12.75">
      <c r="D7" s="8" t="s">
        <v>296</v>
      </c>
      <c r="E7" s="8" t="s">
        <v>251</v>
      </c>
      <c r="F7" s="6" t="s">
        <v>137</v>
      </c>
      <c r="G7" s="8" t="s">
        <v>219</v>
      </c>
      <c r="H7" s="8" t="s">
        <v>260</v>
      </c>
      <c r="I7" s="8" t="s">
        <v>288</v>
      </c>
      <c r="J7" s="8" t="s">
        <v>242</v>
      </c>
      <c r="K7" s="8" t="s">
        <v>288</v>
      </c>
    </row>
    <row r="8" spans="2:11" ht="12.75">
      <c r="B8" s="1" t="s">
        <v>62</v>
      </c>
      <c r="D8" s="8" t="s">
        <v>78</v>
      </c>
      <c r="E8" s="8" t="s">
        <v>81</v>
      </c>
      <c r="F8" s="6" t="s">
        <v>75</v>
      </c>
      <c r="G8" s="8" t="s">
        <v>169</v>
      </c>
      <c r="H8" s="8" t="s">
        <v>215</v>
      </c>
      <c r="I8" s="8" t="s">
        <v>79</v>
      </c>
      <c r="J8" s="8" t="s">
        <v>76</v>
      </c>
      <c r="K8" s="8" t="s">
        <v>80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227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69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11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3</v>
      </c>
      <c r="I12" s="8">
        <f>(H12*(1/G12))*0.05*75</f>
        <v>2.209821428571429</v>
      </c>
      <c r="J12" s="8">
        <f>(H55+H46)*(1/G12*H12)</f>
        <v>0</v>
      </c>
      <c r="K12" s="8">
        <f>H12*(1/G12)*1.2</f>
        <v>0.7071428571428572</v>
      </c>
    </row>
    <row r="13" spans="2:11" ht="12.75">
      <c r="B13" s="1" t="s">
        <v>10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67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3.5" thickBot="1">
      <c r="B16" s="27" t="s">
        <v>278</v>
      </c>
      <c r="D16" s="8"/>
      <c r="F16" s="8"/>
      <c r="G16" s="8"/>
      <c r="H16" s="8"/>
      <c r="I16" s="68">
        <f>SUM(I11:I14)</f>
        <v>29.975172305764413</v>
      </c>
      <c r="J16" s="68">
        <f>SUM(J11:J14)</f>
        <v>0</v>
      </c>
      <c r="K16" s="68">
        <f>SUM(K11:K14)</f>
        <v>3.1137825332562175</v>
      </c>
      <c r="L16" s="81">
        <f>SUM(I16:K16)</f>
        <v>33.08895483902063</v>
      </c>
    </row>
    <row r="17" spans="2:12" ht="13.5" thickTop="1">
      <c r="B17" s="17"/>
      <c r="D17" s="8"/>
      <c r="E17" s="8"/>
      <c r="F17" s="8"/>
      <c r="G17" s="8"/>
      <c r="H17" s="8"/>
      <c r="I17" s="87"/>
      <c r="J17" s="87"/>
      <c r="K17" s="87"/>
      <c r="L17" s="67"/>
    </row>
    <row r="18" spans="2:11" ht="12.75">
      <c r="B18" s="27" t="s">
        <v>163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17" t="s">
        <v>68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3</v>
      </c>
      <c r="I19" s="8">
        <f>(H19*(1/G19))*0.05*90</f>
        <v>3.0937500000000004</v>
      </c>
      <c r="J19" s="8">
        <f>(H61+H57)*(1/G19*H19)</f>
        <v>0</v>
      </c>
      <c r="K19" s="8">
        <f>H19*(1/G19)*1.2</f>
        <v>0.825</v>
      </c>
    </row>
    <row r="20" spans="2:11" ht="12.75">
      <c r="B20" s="1" t="s">
        <v>70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1" t="s">
        <v>59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60</v>
      </c>
      <c r="H22" s="6"/>
      <c r="I22" s="8">
        <v>5</v>
      </c>
      <c r="J22" s="8">
        <v>0.5</v>
      </c>
      <c r="K22" s="8">
        <v>1</v>
      </c>
    </row>
    <row r="23" spans="2:12" ht="13.5" thickBot="1">
      <c r="B23" s="27" t="s">
        <v>271</v>
      </c>
      <c r="I23" s="68">
        <f>SUM(I19:I22)</f>
        <v>14.209821428571429</v>
      </c>
      <c r="J23" s="68">
        <f>SUM(J19:J22)</f>
        <v>0.5</v>
      </c>
      <c r="K23" s="68">
        <f>SUM(K19:K22)</f>
        <v>3.439285714285714</v>
      </c>
      <c r="L23" s="81">
        <f>SUM(I23:K23)</f>
        <v>18.149107142857144</v>
      </c>
    </row>
    <row r="24" spans="9:12" ht="13.5" thickTop="1">
      <c r="I24" s="67"/>
      <c r="J24" s="67"/>
      <c r="K24" s="67"/>
      <c r="L24" s="67"/>
    </row>
    <row r="36" ht="12.75">
      <c r="A36" s="1" t="s">
        <v>90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4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.421875" style="1" customWidth="1"/>
    <col min="2" max="2" width="13.421875" style="1" customWidth="1"/>
    <col min="3" max="3" width="19.28125" style="1" customWidth="1"/>
    <col min="4" max="4" width="6.7109375" style="1" customWidth="1"/>
    <col min="5" max="5" width="10.7109375" style="1" customWidth="1"/>
    <col min="6" max="6" width="9.140625" style="1" customWidth="1"/>
    <col min="7" max="7" width="4.851562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ht="12.75">
      <c r="B2" s="93" t="s">
        <v>360</v>
      </c>
    </row>
    <row r="4" spans="2:11" ht="15.75">
      <c r="B4" s="104" t="s">
        <v>359</v>
      </c>
      <c r="C4" s="102"/>
      <c r="D4" s="102"/>
      <c r="E4" s="102"/>
      <c r="F4" s="102"/>
      <c r="G4" s="102"/>
      <c r="H4" s="102"/>
      <c r="I4" s="102"/>
      <c r="J4" s="102"/>
      <c r="K4" s="102"/>
    </row>
    <row r="6" spans="2:5" ht="12.75">
      <c r="B6" s="1" t="s">
        <v>101</v>
      </c>
      <c r="C6" s="12">
        <v>50</v>
      </c>
      <c r="D6" s="48" t="s">
        <v>220</v>
      </c>
      <c r="E6" s="12" t="s">
        <v>0</v>
      </c>
    </row>
    <row r="7" spans="2:5" ht="12.75">
      <c r="B7" s="1" t="s">
        <v>176</v>
      </c>
      <c r="C7" s="32">
        <v>0.065</v>
      </c>
      <c r="D7" s="48" t="s">
        <v>289</v>
      </c>
      <c r="E7" s="12" t="s">
        <v>0</v>
      </c>
    </row>
    <row r="8" spans="4:11" ht="12.75">
      <c r="D8" s="48" t="s">
        <v>156</v>
      </c>
      <c r="E8" s="66" t="s">
        <v>235</v>
      </c>
      <c r="F8" s="48" t="s">
        <v>249</v>
      </c>
      <c r="G8" s="59" t="s">
        <v>302</v>
      </c>
      <c r="H8" s="18"/>
      <c r="I8" s="18"/>
      <c r="J8" s="18"/>
      <c r="K8" s="33"/>
    </row>
    <row r="9" spans="2:11" ht="12.75">
      <c r="B9" s="48" t="s">
        <v>61</v>
      </c>
      <c r="C9" s="47"/>
      <c r="D9" s="48" t="s">
        <v>131</v>
      </c>
      <c r="E9" s="66" t="s">
        <v>231</v>
      </c>
      <c r="F9" s="48" t="s">
        <v>290</v>
      </c>
      <c r="G9" s="59" t="s">
        <v>195</v>
      </c>
      <c r="H9" s="59" t="s">
        <v>132</v>
      </c>
      <c r="I9" s="48" t="s">
        <v>175</v>
      </c>
      <c r="J9" s="59" t="s">
        <v>254</v>
      </c>
      <c r="K9" s="59" t="s">
        <v>145</v>
      </c>
    </row>
    <row r="10" spans="5:11" ht="12.75">
      <c r="E10" s="18"/>
      <c r="F10" s="18"/>
      <c r="G10" s="18"/>
      <c r="H10" s="18"/>
      <c r="I10" s="18"/>
      <c r="J10" s="18"/>
      <c r="K10" s="33"/>
    </row>
    <row r="11" spans="2:11" ht="12.75">
      <c r="B11" s="49" t="s">
        <v>336</v>
      </c>
      <c r="C11" s="51"/>
      <c r="D11" s="54">
        <v>1</v>
      </c>
      <c r="E11" s="58">
        <v>300</v>
      </c>
      <c r="F11" s="58">
        <f>E11*0.2</f>
        <v>60</v>
      </c>
      <c r="G11" s="58">
        <v>10</v>
      </c>
      <c r="H11" s="58">
        <f aca="true" t="shared" si="0" ref="H11:H21">(E11-F11)/G11*D11</f>
        <v>24</v>
      </c>
      <c r="I11" s="58">
        <f aca="true" t="shared" si="1" ref="I11:I21">(E11+F11)/2*C$7*D11</f>
        <v>11.700000000000001</v>
      </c>
      <c r="J11" s="58">
        <f aca="true" t="shared" si="2" ref="J11:J21">(E11+F11)/2*0.014*D11</f>
        <v>2.52</v>
      </c>
      <c r="K11" s="57">
        <f aca="true" t="shared" si="3" ref="K11:K21">(H11+I11+J11)/$C$6</f>
        <v>0.7644000000000001</v>
      </c>
    </row>
    <row r="12" spans="2:11" ht="12.75">
      <c r="B12" s="49" t="s">
        <v>335</v>
      </c>
      <c r="C12" s="51"/>
      <c r="D12" s="54">
        <v>1</v>
      </c>
      <c r="E12" s="58">
        <v>15000</v>
      </c>
      <c r="F12" s="58">
        <f>E12*0.2</f>
        <v>3000</v>
      </c>
      <c r="G12" s="58">
        <v>10</v>
      </c>
      <c r="H12" s="58">
        <f t="shared" si="0"/>
        <v>1200</v>
      </c>
      <c r="I12" s="58">
        <f t="shared" si="1"/>
        <v>585</v>
      </c>
      <c r="J12" s="58">
        <f t="shared" si="2"/>
        <v>126</v>
      </c>
      <c r="K12" s="57">
        <f t="shared" si="3"/>
        <v>38.22</v>
      </c>
    </row>
    <row r="13" spans="2:11" ht="12.75">
      <c r="B13" s="49" t="s">
        <v>333</v>
      </c>
      <c r="C13" s="51"/>
      <c r="D13" s="54">
        <v>1</v>
      </c>
      <c r="E13" s="58">
        <v>4000</v>
      </c>
      <c r="F13" s="58">
        <f>E13*0.2</f>
        <v>800</v>
      </c>
      <c r="G13" s="58">
        <v>10</v>
      </c>
      <c r="H13" s="58">
        <f t="shared" si="0"/>
        <v>320</v>
      </c>
      <c r="I13" s="58">
        <f t="shared" si="1"/>
        <v>156</v>
      </c>
      <c r="J13" s="58">
        <f t="shared" si="2"/>
        <v>33.6</v>
      </c>
      <c r="K13" s="57">
        <f t="shared" si="3"/>
        <v>10.192</v>
      </c>
    </row>
    <row r="14" spans="2:11" ht="12.75">
      <c r="B14" s="49" t="s">
        <v>136</v>
      </c>
      <c r="C14" s="51"/>
      <c r="D14" s="54">
        <v>1</v>
      </c>
      <c r="E14" s="58">
        <v>2000</v>
      </c>
      <c r="F14" s="58">
        <f>E14*0.2</f>
        <v>400</v>
      </c>
      <c r="G14" s="58">
        <v>10</v>
      </c>
      <c r="H14" s="58">
        <f t="shared" si="0"/>
        <v>160</v>
      </c>
      <c r="I14" s="58">
        <f t="shared" si="1"/>
        <v>78</v>
      </c>
      <c r="J14" s="58">
        <f t="shared" si="2"/>
        <v>16.8</v>
      </c>
      <c r="K14" s="57">
        <f t="shared" si="3"/>
        <v>5.096</v>
      </c>
    </row>
    <row r="15" spans="2:11" ht="12.75">
      <c r="B15" s="50" t="s">
        <v>334</v>
      </c>
      <c r="C15" s="55"/>
      <c r="D15" s="54">
        <v>1</v>
      </c>
      <c r="E15" s="58">
        <v>24000</v>
      </c>
      <c r="F15" s="58">
        <f aca="true" t="shared" si="4" ref="F15:F21">E15*0.2</f>
        <v>4800</v>
      </c>
      <c r="G15" s="58">
        <v>20</v>
      </c>
      <c r="H15" s="58">
        <f t="shared" si="0"/>
        <v>960</v>
      </c>
      <c r="I15" s="58">
        <f t="shared" si="1"/>
        <v>936</v>
      </c>
      <c r="J15" s="58">
        <f t="shared" si="2"/>
        <v>201.6</v>
      </c>
      <c r="K15" s="57">
        <f t="shared" si="3"/>
        <v>41.952</v>
      </c>
    </row>
    <row r="16" spans="2:11" ht="12.75">
      <c r="B16" s="50" t="s">
        <v>344</v>
      </c>
      <c r="C16" s="55"/>
      <c r="D16" s="54">
        <v>1</v>
      </c>
      <c r="E16" s="58">
        <v>24000</v>
      </c>
      <c r="F16" s="58">
        <f t="shared" si="4"/>
        <v>4800</v>
      </c>
      <c r="G16" s="58">
        <v>10</v>
      </c>
      <c r="H16" s="58">
        <f t="shared" si="0"/>
        <v>1920</v>
      </c>
      <c r="I16" s="58">
        <f t="shared" si="1"/>
        <v>936</v>
      </c>
      <c r="J16" s="58">
        <f t="shared" si="2"/>
        <v>201.6</v>
      </c>
      <c r="K16" s="57">
        <f t="shared" si="3"/>
        <v>61.152</v>
      </c>
    </row>
    <row r="17" spans="2:11" ht="12.75">
      <c r="B17" s="50" t="s">
        <v>332</v>
      </c>
      <c r="C17" s="55"/>
      <c r="D17" s="54">
        <v>1</v>
      </c>
      <c r="E17" s="58">
        <v>4000</v>
      </c>
      <c r="F17" s="58">
        <f t="shared" si="4"/>
        <v>800</v>
      </c>
      <c r="G17" s="58">
        <v>10</v>
      </c>
      <c r="H17" s="58">
        <f t="shared" si="0"/>
        <v>320</v>
      </c>
      <c r="I17" s="58">
        <f t="shared" si="1"/>
        <v>156</v>
      </c>
      <c r="J17" s="58">
        <f t="shared" si="2"/>
        <v>33.6</v>
      </c>
      <c r="K17" s="57">
        <f t="shared" si="3"/>
        <v>10.192</v>
      </c>
    </row>
    <row r="18" spans="2:11" ht="12.75">
      <c r="B18" s="50" t="s">
        <v>330</v>
      </c>
      <c r="C18" s="55"/>
      <c r="D18" s="54">
        <v>1</v>
      </c>
      <c r="E18" s="62">
        <v>4000</v>
      </c>
      <c r="F18" s="58">
        <f t="shared" si="4"/>
        <v>800</v>
      </c>
      <c r="G18" s="56">
        <v>10</v>
      </c>
      <c r="H18" s="58">
        <f t="shared" si="0"/>
        <v>320</v>
      </c>
      <c r="I18" s="58">
        <f t="shared" si="1"/>
        <v>156</v>
      </c>
      <c r="J18" s="58">
        <f t="shared" si="2"/>
        <v>33.6</v>
      </c>
      <c r="K18" s="57">
        <f t="shared" si="3"/>
        <v>10.192</v>
      </c>
    </row>
    <row r="19" spans="2:11" ht="12.75">
      <c r="B19" s="50" t="s">
        <v>331</v>
      </c>
      <c r="C19" s="55"/>
      <c r="D19" s="54">
        <v>1</v>
      </c>
      <c r="E19" s="62">
        <v>8000</v>
      </c>
      <c r="F19" s="58">
        <f t="shared" si="4"/>
        <v>1600</v>
      </c>
      <c r="G19" s="56">
        <v>10</v>
      </c>
      <c r="H19" s="58">
        <f t="shared" si="0"/>
        <v>640</v>
      </c>
      <c r="I19" s="58">
        <f t="shared" si="1"/>
        <v>312</v>
      </c>
      <c r="J19" s="58">
        <f t="shared" si="2"/>
        <v>67.2</v>
      </c>
      <c r="K19" s="57">
        <f t="shared" si="3"/>
        <v>20.384</v>
      </c>
    </row>
    <row r="20" spans="2:11" ht="12.75">
      <c r="B20" s="55" t="s">
        <v>338</v>
      </c>
      <c r="C20" s="17"/>
      <c r="D20" s="20">
        <v>1</v>
      </c>
      <c r="E20" s="63">
        <v>2000</v>
      </c>
      <c r="F20" s="63">
        <f t="shared" si="4"/>
        <v>400</v>
      </c>
      <c r="G20" s="64">
        <v>10</v>
      </c>
      <c r="H20" s="64">
        <f t="shared" si="0"/>
        <v>160</v>
      </c>
      <c r="I20" s="64">
        <f t="shared" si="1"/>
        <v>78</v>
      </c>
      <c r="J20" s="64">
        <f t="shared" si="2"/>
        <v>16.8</v>
      </c>
      <c r="K20" s="64">
        <f t="shared" si="3"/>
        <v>5.096</v>
      </c>
    </row>
    <row r="21" spans="2:11" ht="12.75">
      <c r="B21" s="55" t="s">
        <v>337</v>
      </c>
      <c r="C21" s="17"/>
      <c r="D21" s="20">
        <v>1</v>
      </c>
      <c r="E21" s="63">
        <v>300</v>
      </c>
      <c r="F21" s="63">
        <f t="shared" si="4"/>
        <v>60</v>
      </c>
      <c r="G21" s="64">
        <v>10</v>
      </c>
      <c r="H21" s="64">
        <f t="shared" si="0"/>
        <v>24</v>
      </c>
      <c r="I21" s="64">
        <f t="shared" si="1"/>
        <v>11.700000000000001</v>
      </c>
      <c r="J21" s="64">
        <f t="shared" si="2"/>
        <v>2.52</v>
      </c>
      <c r="K21" s="64">
        <f t="shared" si="3"/>
        <v>0.7644000000000001</v>
      </c>
    </row>
    <row r="22" spans="2:11" ht="12.75">
      <c r="B22" s="55" t="s">
        <v>339</v>
      </c>
      <c r="C22" s="17"/>
      <c r="D22" s="20">
        <v>1</v>
      </c>
      <c r="E22" s="63">
        <v>250</v>
      </c>
      <c r="F22" s="63">
        <f>E22*0.2</f>
        <v>50</v>
      </c>
      <c r="G22" s="64">
        <v>10</v>
      </c>
      <c r="H22" s="64">
        <f>(E22-F22)/G22*D22</f>
        <v>20</v>
      </c>
      <c r="I22" s="64">
        <f>(E22+F22)/2*C$7*D22</f>
        <v>9.75</v>
      </c>
      <c r="J22" s="64">
        <f>(E22+F22)/2*0.014*D22</f>
        <v>2.1</v>
      </c>
      <c r="K22" s="64">
        <f>(H22+I22+J22)/$C$6</f>
        <v>0.637</v>
      </c>
    </row>
    <row r="23" spans="2:11" ht="12.75">
      <c r="B23" s="55" t="s">
        <v>340</v>
      </c>
      <c r="C23" s="17"/>
      <c r="D23" s="20">
        <v>1</v>
      </c>
      <c r="E23" s="63">
        <v>900</v>
      </c>
      <c r="F23" s="63">
        <f>E23*0.2</f>
        <v>180</v>
      </c>
      <c r="G23" s="64">
        <v>10</v>
      </c>
      <c r="H23" s="64">
        <f>(E23-F23)/G23*D23</f>
        <v>72</v>
      </c>
      <c r="I23" s="64">
        <f>(E23+F23)/2*C$7*D23</f>
        <v>35.1</v>
      </c>
      <c r="J23" s="64">
        <f>(E23+F23)/2*0.014*D23</f>
        <v>7.5600000000000005</v>
      </c>
      <c r="K23" s="64">
        <f>(H23+I23+J23)/$C$6</f>
        <v>2.2932</v>
      </c>
    </row>
    <row r="24" spans="2:11" ht="12.75">
      <c r="B24" s="55" t="s">
        <v>341</v>
      </c>
      <c r="C24" s="17"/>
      <c r="D24" s="20">
        <v>1</v>
      </c>
      <c r="E24" s="63">
        <v>250</v>
      </c>
      <c r="F24" s="63">
        <f>E24*0.2</f>
        <v>50</v>
      </c>
      <c r="G24" s="64">
        <v>10</v>
      </c>
      <c r="H24" s="64">
        <f>(E24-F24)/G24*D24</f>
        <v>20</v>
      </c>
      <c r="I24" s="64">
        <f>(E24+F24)/2*C$7*D24</f>
        <v>9.75</v>
      </c>
      <c r="J24" s="64">
        <f>(E24+F24)/2*0.014*D24</f>
        <v>2.1</v>
      </c>
      <c r="K24" s="64">
        <f>(H24+I24+J24)/$C$6</f>
        <v>0.637</v>
      </c>
    </row>
    <row r="25" spans="2:11" ht="12.75">
      <c r="B25" s="55" t="s">
        <v>342</v>
      </c>
      <c r="C25" s="17"/>
      <c r="D25" s="20">
        <v>1</v>
      </c>
      <c r="E25" s="63">
        <v>299</v>
      </c>
      <c r="F25" s="63">
        <f>E25*0.2</f>
        <v>59.800000000000004</v>
      </c>
      <c r="G25" s="64">
        <v>10</v>
      </c>
      <c r="H25" s="64">
        <f>(E25-F25)/G25*D25</f>
        <v>23.919999999999998</v>
      </c>
      <c r="I25" s="64">
        <f>(E25+F25)/2*C$7*D25</f>
        <v>11.661000000000001</v>
      </c>
      <c r="J25" s="64">
        <f>(E25+F25)/2*0.014*D25</f>
        <v>2.5116</v>
      </c>
      <c r="K25" s="64">
        <f>(H25+I25+J25)/$C$6</f>
        <v>0.7618520000000001</v>
      </c>
    </row>
    <row r="26" spans="2:11" ht="12.75">
      <c r="B26" s="55" t="s">
        <v>343</v>
      </c>
      <c r="C26" s="17"/>
      <c r="D26" s="20">
        <v>1</v>
      </c>
      <c r="E26" s="63">
        <v>1000</v>
      </c>
      <c r="F26" s="63">
        <f>E26*0.2</f>
        <v>200</v>
      </c>
      <c r="G26" s="64">
        <v>10</v>
      </c>
      <c r="H26" s="64">
        <f>(E26-F26)/G26*D26</f>
        <v>80</v>
      </c>
      <c r="I26" s="64">
        <f>(E26+F26)/2*C$7*D26</f>
        <v>39</v>
      </c>
      <c r="J26" s="64">
        <f>(E26+F26)/2*0.014*D26</f>
        <v>8.4</v>
      </c>
      <c r="K26" s="64">
        <f>(H26+I26+J26)/$C$6</f>
        <v>2.548</v>
      </c>
    </row>
    <row r="27" spans="2:11" ht="12.75">
      <c r="B27" s="17"/>
      <c r="C27" s="17"/>
      <c r="D27" s="7"/>
      <c r="E27" s="63"/>
      <c r="F27" s="63"/>
      <c r="G27" s="64"/>
      <c r="H27" s="64"/>
      <c r="I27" s="64"/>
      <c r="J27" s="64"/>
      <c r="K27" s="64"/>
    </row>
    <row r="28" spans="2:11" ht="13.5" thickBot="1">
      <c r="B28" s="27" t="s">
        <v>273</v>
      </c>
      <c r="D28" s="7"/>
      <c r="E28" s="88">
        <f>SUM(E11:E27)</f>
        <v>90299</v>
      </c>
      <c r="F28" s="89">
        <f>SUM(F11:F27)</f>
        <v>18059.8</v>
      </c>
      <c r="G28" s="89"/>
      <c r="H28" s="90">
        <f>SUM(H11:H27)</f>
        <v>6263.92</v>
      </c>
      <c r="I28" s="90">
        <f>SUM(I11:I27)</f>
        <v>3521.6609999999996</v>
      </c>
      <c r="J28" s="90">
        <f>SUM(J11:J27)</f>
        <v>758.5116</v>
      </c>
      <c r="K28" s="90">
        <f>SUM(K11:K27)</f>
        <v>210.88185200000004</v>
      </c>
    </row>
    <row r="29" spans="4:11" ht="13.5" thickTop="1">
      <c r="D29" s="7"/>
      <c r="E29" s="70"/>
      <c r="F29" s="70"/>
      <c r="G29" s="70"/>
      <c r="H29" s="70"/>
      <c r="I29" s="70"/>
      <c r="J29" s="70"/>
      <c r="K29" s="87"/>
    </row>
    <row r="30" spans="4:11" ht="12.75">
      <c r="D30" s="7"/>
      <c r="E30" s="7"/>
      <c r="F30" s="7"/>
      <c r="G30" s="7"/>
      <c r="H30" s="7"/>
      <c r="I30" s="6">
        <f>H28</f>
        <v>6263.92</v>
      </c>
      <c r="J30" s="7"/>
      <c r="K30" s="8"/>
    </row>
    <row r="31" spans="4:11" ht="12.75">
      <c r="D31" s="7"/>
      <c r="E31" s="7"/>
      <c r="F31" s="7"/>
      <c r="G31" s="7"/>
      <c r="H31" s="7"/>
      <c r="I31" s="6">
        <f>I28</f>
        <v>3521.6609999999996</v>
      </c>
      <c r="J31" s="7"/>
      <c r="K31" s="8"/>
    </row>
    <row r="32" spans="4:11" ht="12.75">
      <c r="D32" s="7"/>
      <c r="E32" s="7"/>
      <c r="F32" s="7"/>
      <c r="G32" s="7"/>
      <c r="H32" s="7"/>
      <c r="I32" s="6">
        <f>J28</f>
        <v>758.5116</v>
      </c>
      <c r="J32" s="7"/>
      <c r="K32" s="8"/>
    </row>
    <row r="33" spans="4:11" ht="12.75">
      <c r="D33" s="7"/>
      <c r="E33" s="7"/>
      <c r="F33" s="7"/>
      <c r="G33" s="7"/>
      <c r="H33" s="7"/>
      <c r="I33" s="6"/>
      <c r="J33" s="7"/>
      <c r="K33" s="8"/>
    </row>
    <row r="34" spans="2:11" ht="12.75">
      <c r="B34" s="27" t="s">
        <v>270</v>
      </c>
      <c r="D34" s="7"/>
      <c r="E34" s="7"/>
      <c r="F34" s="7"/>
      <c r="G34" s="7"/>
      <c r="H34" s="7"/>
      <c r="I34" s="9">
        <f>SUM(I30:I33)</f>
        <v>10544.0926</v>
      </c>
      <c r="J34" s="7"/>
      <c r="K34" s="8"/>
    </row>
    <row r="35" spans="2:11" ht="13.5" thickBot="1">
      <c r="B35" s="27" t="s">
        <v>151</v>
      </c>
      <c r="D35" s="7"/>
      <c r="E35" s="7"/>
      <c r="F35" s="7"/>
      <c r="G35" s="7"/>
      <c r="H35" s="7"/>
      <c r="I35" s="91">
        <f>I34/C6</f>
        <v>210.881852</v>
      </c>
      <c r="J35" s="7"/>
      <c r="K35" s="8"/>
    </row>
    <row r="36" spans="4:11" ht="13.5" thickTop="1">
      <c r="D36" s="7"/>
      <c r="E36" s="7"/>
      <c r="F36" s="7"/>
      <c r="G36" s="7"/>
      <c r="H36" s="7"/>
      <c r="I36" s="70"/>
      <c r="J36" s="7"/>
      <c r="K36" s="8"/>
    </row>
    <row r="37" spans="4:11" ht="12.75">
      <c r="D37" s="7"/>
      <c r="E37" s="7"/>
      <c r="F37" s="7"/>
      <c r="G37" s="7"/>
      <c r="H37" s="7"/>
      <c r="I37" s="7"/>
      <c r="J37" s="7"/>
      <c r="K37" s="8"/>
    </row>
    <row r="38" spans="2:11" ht="12.75">
      <c r="B38" s="1" t="s">
        <v>83</v>
      </c>
      <c r="D38" s="7"/>
      <c r="E38" s="7"/>
      <c r="F38" s="7"/>
      <c r="G38" s="7"/>
      <c r="H38" s="7"/>
      <c r="I38" s="7"/>
      <c r="J38" s="7"/>
      <c r="K38" s="8"/>
    </row>
    <row r="39" spans="2:11" ht="12.75">
      <c r="B39" s="1" t="s">
        <v>85</v>
      </c>
      <c r="D39" s="7"/>
      <c r="E39" s="7"/>
      <c r="F39" s="7"/>
      <c r="G39" s="7"/>
      <c r="H39" s="7"/>
      <c r="I39" s="7"/>
      <c r="J39" s="7"/>
      <c r="K39" s="8"/>
    </row>
    <row r="40" spans="1:11" ht="12.75">
      <c r="A40" s="1" t="s">
        <v>90</v>
      </c>
      <c r="D40" s="7"/>
      <c r="E40" s="7"/>
      <c r="F40" s="7"/>
      <c r="G40" s="7"/>
      <c r="H40" s="7"/>
      <c r="I40" s="7"/>
      <c r="J40" s="7"/>
      <c r="K40" s="8"/>
    </row>
    <row r="41" spans="4:11" ht="12.75">
      <c r="D41" s="7"/>
      <c r="E41" s="7"/>
      <c r="F41" s="7"/>
      <c r="G41" s="7"/>
      <c r="H41" s="7"/>
      <c r="I41" s="7"/>
      <c r="J41" s="7"/>
      <c r="K41" s="8"/>
    </row>
    <row r="42" spans="4:11" ht="12.75">
      <c r="D42" s="7"/>
      <c r="E42" s="7"/>
      <c r="F42" s="7"/>
      <c r="G42" s="7"/>
      <c r="H42" s="7"/>
      <c r="I42" s="7"/>
      <c r="J42" s="7"/>
      <c r="K42" s="8"/>
    </row>
    <row r="43" spans="4:11" ht="12.75">
      <c r="D43" s="7"/>
      <c r="E43" s="7"/>
      <c r="F43" s="7"/>
      <c r="G43" s="7"/>
      <c r="H43" s="7"/>
      <c r="I43" s="7"/>
      <c r="J43" s="7"/>
      <c r="K43" s="8"/>
    </row>
    <row r="44" spans="4:11" ht="12.75">
      <c r="D44" s="7"/>
      <c r="E44" s="7"/>
      <c r="F44" s="7"/>
      <c r="G44" s="7"/>
      <c r="H44" s="7"/>
      <c r="I44" s="7"/>
      <c r="J44" s="7"/>
      <c r="K44" s="8"/>
    </row>
    <row r="45" spans="4:11" ht="12.75">
      <c r="D45" s="7"/>
      <c r="E45" s="7"/>
      <c r="F45" s="7"/>
      <c r="G45" s="7"/>
      <c r="H45" s="7"/>
      <c r="I45" s="7"/>
      <c r="J45" s="7"/>
      <c r="K45" s="8"/>
    </row>
    <row r="46" spans="4:11" ht="12.75">
      <c r="D46" s="7"/>
      <c r="E46" s="7"/>
      <c r="F46" s="7"/>
      <c r="G46" s="7"/>
      <c r="H46" s="7"/>
      <c r="I46" s="7"/>
      <c r="J46" s="7"/>
      <c r="K46" s="8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93" t="s">
        <v>360</v>
      </c>
    </row>
    <row r="3" ht="12.75">
      <c r="A3" s="17"/>
    </row>
    <row r="4" spans="1:8" ht="15.75">
      <c r="A4" s="17"/>
      <c r="C4" s="97" t="s">
        <v>135</v>
      </c>
      <c r="D4" s="98"/>
      <c r="E4" s="98"/>
      <c r="F4" s="98"/>
      <c r="G4" s="98"/>
      <c r="H4" s="98"/>
    </row>
    <row r="5" ht="12.75">
      <c r="A5" s="17"/>
    </row>
    <row r="6" spans="1:8" ht="12.75">
      <c r="A6" s="17"/>
      <c r="C6" s="99"/>
      <c r="D6" s="98"/>
      <c r="E6" s="98"/>
      <c r="F6" s="98"/>
      <c r="G6" s="98"/>
      <c r="H6" s="98"/>
    </row>
    <row r="7" spans="1:8" ht="12.75">
      <c r="A7" s="17"/>
      <c r="C7" s="99"/>
      <c r="D7" s="98"/>
      <c r="E7" s="98"/>
      <c r="F7" s="98"/>
      <c r="G7" s="98"/>
      <c r="H7" s="98"/>
    </row>
    <row r="8" ht="12.75">
      <c r="A8" s="17"/>
    </row>
    <row r="9" spans="1:8" ht="12.75">
      <c r="A9" s="17"/>
      <c r="C9" s="99">
        <v>2018</v>
      </c>
      <c r="D9" s="98"/>
      <c r="E9" s="98"/>
      <c r="F9" s="98"/>
      <c r="G9" s="98"/>
      <c r="H9" s="98"/>
    </row>
    <row r="10" ht="12.75">
      <c r="A10" s="17"/>
    </row>
    <row r="11" spans="1:7" ht="12.75">
      <c r="A11" s="17"/>
      <c r="B11" s="1" t="s">
        <v>112</v>
      </c>
      <c r="F11" s="28">
        <v>50</v>
      </c>
      <c r="G11" s="17" t="s">
        <v>102</v>
      </c>
    </row>
    <row r="12" spans="1:6" ht="12.75">
      <c r="A12" s="17"/>
      <c r="B12" s="1" t="s">
        <v>250</v>
      </c>
      <c r="D12" s="15">
        <v>40</v>
      </c>
      <c r="E12" s="1" t="s">
        <v>121</v>
      </c>
      <c r="F12" s="15">
        <v>40</v>
      </c>
    </row>
    <row r="13" spans="1:7" ht="12.75">
      <c r="A13" s="17"/>
      <c r="B13" s="1" t="s">
        <v>178</v>
      </c>
      <c r="G13" s="34">
        <v>0.065</v>
      </c>
    </row>
    <row r="14" spans="1:7" ht="12.75">
      <c r="A14" s="17"/>
      <c r="B14" s="1" t="s">
        <v>255</v>
      </c>
      <c r="G14" s="1">
        <v>0.015</v>
      </c>
    </row>
    <row r="15" spans="1:7" ht="12.75">
      <c r="A15" s="17"/>
      <c r="B15" s="1" t="s">
        <v>134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182</v>
      </c>
    </row>
    <row r="19" ht="12.75">
      <c r="A19" s="17"/>
    </row>
    <row r="20" spans="1:9" ht="12.75">
      <c r="A20" s="17"/>
      <c r="E20" s="65" t="s">
        <v>207</v>
      </c>
      <c r="F20" s="65" t="s">
        <v>303</v>
      </c>
      <c r="G20" s="65" t="s">
        <v>133</v>
      </c>
      <c r="H20" s="48" t="s">
        <v>177</v>
      </c>
      <c r="I20" s="48" t="s">
        <v>253</v>
      </c>
    </row>
    <row r="21" spans="1:9" ht="12.75">
      <c r="A21" s="17"/>
      <c r="B21" s="1" t="s">
        <v>224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311</v>
      </c>
      <c r="E22" s="6">
        <f>95*F11</f>
        <v>4750</v>
      </c>
      <c r="F22" s="6">
        <v>10</v>
      </c>
      <c r="G22" s="6">
        <f t="shared" si="0"/>
        <v>475</v>
      </c>
      <c r="H22" s="6">
        <f>(E22/2)*G13</f>
        <v>154.375</v>
      </c>
      <c r="I22" s="6">
        <f>(E22/2)*G14</f>
        <v>35.625</v>
      </c>
    </row>
    <row r="23" spans="1:9" ht="12.75">
      <c r="A23" s="17"/>
      <c r="B23" s="1" t="s">
        <v>312</v>
      </c>
      <c r="E23" s="6">
        <f>IF(F11*2&lt;40,4*3*G15,IF(F11*2&lt;175,6*3*G15,IF(F11*2&lt;=600,8*3*G15,12*3*G15)))</f>
        <v>2160</v>
      </c>
      <c r="F23" s="6">
        <v>25</v>
      </c>
      <c r="G23" s="6">
        <f t="shared" si="0"/>
        <v>86.4</v>
      </c>
      <c r="H23" s="6">
        <f>(E23/2)*G13</f>
        <v>70.2</v>
      </c>
      <c r="I23" s="6">
        <f>(E23/2)*G14</f>
        <v>16.2</v>
      </c>
    </row>
    <row r="24" spans="1:9" ht="12.75">
      <c r="A24" s="17"/>
      <c r="B24" s="1" t="s">
        <v>313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314</v>
      </c>
      <c r="E25" s="6">
        <f>26*F11</f>
        <v>1300</v>
      </c>
      <c r="F25" s="6">
        <v>10</v>
      </c>
      <c r="G25" s="6">
        <f t="shared" si="0"/>
        <v>130</v>
      </c>
      <c r="H25" s="6">
        <f>(E25/2)*G13</f>
        <v>42.25</v>
      </c>
      <c r="I25" s="6">
        <f>(E25/2)*G14</f>
        <v>9.75</v>
      </c>
    </row>
    <row r="26" spans="1:9" ht="12.75">
      <c r="A26" s="17"/>
      <c r="B26" s="1" t="s">
        <v>315</v>
      </c>
      <c r="E26" s="6">
        <f>SUM(E21:E25)*0.03</f>
        <v>885.3</v>
      </c>
      <c r="F26" s="6">
        <v>20</v>
      </c>
      <c r="G26" s="6">
        <f t="shared" si="0"/>
        <v>44.265</v>
      </c>
      <c r="H26" s="6">
        <f>(E26/2)*G13</f>
        <v>28.77225</v>
      </c>
      <c r="I26" s="6">
        <f>(E26/2)*G14</f>
        <v>6.639749999999999</v>
      </c>
    </row>
    <row r="27" spans="1:9" ht="12.75">
      <c r="A27" s="17"/>
      <c r="B27" s="1" t="s">
        <v>316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274</v>
      </c>
      <c r="E28" s="69">
        <f>SUM(E21:E27)</f>
        <v>70395.3</v>
      </c>
      <c r="F28" s="7"/>
      <c r="G28" s="92">
        <f>SUM(G21:G27)</f>
        <v>3983.998333333334</v>
      </c>
      <c r="H28" s="92">
        <f>SUM(H21:H27)</f>
        <v>2287.84725</v>
      </c>
      <c r="I28" s="92">
        <f>SUM(I21:I27)</f>
        <v>527.96475</v>
      </c>
    </row>
    <row r="29" spans="1:9" ht="13.5" thickTop="1">
      <c r="A29" s="17"/>
      <c r="E29" s="70"/>
      <c r="F29" s="7"/>
      <c r="G29" s="70"/>
      <c r="H29" s="70"/>
      <c r="I29" s="70"/>
    </row>
    <row r="30" spans="1:9" ht="13.5" thickBot="1">
      <c r="A30" s="17"/>
      <c r="B30" s="15" t="s">
        <v>265</v>
      </c>
      <c r="E30" s="7"/>
      <c r="F30" s="7"/>
      <c r="G30" s="7"/>
      <c r="H30" s="7"/>
      <c r="I30" s="69">
        <f>G28+H28+I28</f>
        <v>6799.810333333334</v>
      </c>
    </row>
    <row r="31" spans="1:9" ht="13.5" thickTop="1">
      <c r="A31" s="17"/>
      <c r="E31" s="7"/>
      <c r="F31" s="7"/>
      <c r="G31" s="7"/>
      <c r="H31" s="7"/>
      <c r="I31" s="70"/>
    </row>
    <row r="32" spans="1:9" ht="13.5" thickBot="1">
      <c r="A32" s="17"/>
      <c r="B32" s="15" t="s">
        <v>108</v>
      </c>
      <c r="E32" s="7"/>
      <c r="F32" s="7"/>
      <c r="G32" s="7"/>
      <c r="H32" s="7"/>
      <c r="I32" s="68">
        <f>I30/F11</f>
        <v>135.99620666666667</v>
      </c>
    </row>
    <row r="33" spans="1:9" ht="13.5" thickTop="1">
      <c r="A33" s="17"/>
      <c r="E33" s="7"/>
      <c r="F33" s="7"/>
      <c r="G33" s="7"/>
      <c r="H33" s="7"/>
      <c r="I33" s="70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211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204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243</v>
      </c>
      <c r="E38" s="7"/>
      <c r="F38" s="7"/>
      <c r="G38" s="6">
        <f>(E28-E26-E27)*0.005+25+(E22*0.12)</f>
        <v>742.55</v>
      </c>
      <c r="H38" s="7"/>
      <c r="I38" s="7"/>
    </row>
    <row r="39" spans="1:9" ht="12.75">
      <c r="A39" s="17"/>
      <c r="B39" s="1" t="s">
        <v>109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138</v>
      </c>
      <c r="E40" s="7"/>
      <c r="F40" s="7"/>
      <c r="G40" s="6"/>
      <c r="H40" s="7"/>
      <c r="I40" s="7"/>
    </row>
    <row r="41" spans="1:9" ht="12.75">
      <c r="A41" s="17"/>
      <c r="B41" s="1" t="s">
        <v>15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36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106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107</v>
      </c>
      <c r="E44" s="7"/>
      <c r="F44" s="7"/>
      <c r="G44" s="7"/>
      <c r="H44" s="7"/>
      <c r="I44" s="8">
        <f>G43/F11</f>
        <v>18.09264</v>
      </c>
    </row>
    <row r="45" spans="1:9" ht="12.75">
      <c r="A45" s="17"/>
      <c r="B45" s="15" t="s">
        <v>210</v>
      </c>
      <c r="E45" s="7"/>
      <c r="F45" s="7"/>
      <c r="G45" s="7"/>
      <c r="H45" s="7"/>
      <c r="I45" s="10">
        <f>(G38+G43)/F11</f>
        <v>32.943639999999995</v>
      </c>
    </row>
    <row r="46" spans="1:9" ht="12.75">
      <c r="A46" s="17"/>
      <c r="E46" s="7"/>
      <c r="F46" s="7"/>
      <c r="G46" s="7"/>
      <c r="H46" s="7"/>
      <c r="I46" s="7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264</v>
      </c>
      <c r="E48" s="7"/>
      <c r="F48" s="7"/>
      <c r="G48" s="7"/>
      <c r="H48" s="7"/>
      <c r="I48" s="68">
        <f>I32+I45</f>
        <v>168.93984666666665</v>
      </c>
    </row>
    <row r="49" spans="1:9" ht="13.5" thickTop="1">
      <c r="A49" s="17"/>
      <c r="E49" s="7"/>
      <c r="F49" s="7"/>
      <c r="G49" s="7"/>
      <c r="H49" s="7"/>
      <c r="I49" s="70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9" ht="12.75">
      <c r="A52" s="17"/>
      <c r="E52" s="7"/>
      <c r="F52" s="7"/>
      <c r="G52" s="7"/>
      <c r="H52" s="7"/>
      <c r="I52" s="7"/>
    </row>
    <row r="53" spans="1:9" ht="12.75">
      <c r="A53" s="17"/>
      <c r="E53" s="7"/>
      <c r="F53" s="7"/>
      <c r="G53" s="7"/>
      <c r="H53" s="7"/>
      <c r="I53" s="7"/>
    </row>
    <row r="54" spans="1:9" ht="12.75">
      <c r="A54" s="17" t="s">
        <v>90</v>
      </c>
      <c r="E54" s="7"/>
      <c r="F54" s="7"/>
      <c r="G54" s="7"/>
      <c r="H54" s="7"/>
      <c r="I54" s="7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2018-01-18T18:02:20Z</cp:lastPrinted>
  <dcterms:created xsi:type="dcterms:W3CDTF">2017-01-27T13:31:33Z</dcterms:created>
  <dcterms:modified xsi:type="dcterms:W3CDTF">2018-02-05T15:56:42Z</dcterms:modified>
  <cp:category/>
  <cp:version/>
  <cp:contentType/>
  <cp:contentStatus/>
</cp:coreProperties>
</file>