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12460" yWindow="460" windowWidth="1420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9" i="6"/>
  <c r="E14" i="7"/>
  <c r="E15" i="7"/>
  <c r="E16" i="7"/>
  <c r="E17" i="7"/>
  <c r="E18" i="7"/>
  <c r="E19" i="7"/>
  <c r="E20" i="7"/>
  <c r="E16" i="6"/>
  <c r="L25" i="7"/>
  <c r="M25" i="7"/>
  <c r="K26" i="7"/>
  <c r="L26" i="7"/>
  <c r="M26" i="7"/>
  <c r="M27" i="7"/>
  <c r="L23" i="7"/>
  <c r="L24" i="7"/>
  <c r="L27" i="7"/>
  <c r="E24" i="7"/>
  <c r="F24" i="7"/>
  <c r="E25" i="7"/>
  <c r="F25" i="7"/>
  <c r="E26" i="7"/>
  <c r="F26" i="7"/>
  <c r="F27" i="7"/>
  <c r="E27" i="7"/>
  <c r="M24" i="7"/>
  <c r="M23" i="7"/>
  <c r="F23" i="7"/>
  <c r="M22" i="7"/>
  <c r="L16" i="7"/>
  <c r="M16" i="7"/>
  <c r="L17" i="7"/>
  <c r="M17" i="7"/>
  <c r="L18" i="7"/>
  <c r="M18" i="7"/>
  <c r="M19" i="7"/>
  <c r="L14" i="7"/>
  <c r="L15" i="7"/>
  <c r="L19" i="7"/>
  <c r="M15" i="7"/>
  <c r="M14" i="7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F18" i="7"/>
  <c r="F19" i="7"/>
  <c r="F9" i="6"/>
  <c r="G9" i="6"/>
  <c r="F17" i="7"/>
  <c r="F16" i="7"/>
  <c r="F15" i="7"/>
  <c r="F14" i="7"/>
  <c r="B57" i="6"/>
  <c r="B58" i="6"/>
  <c r="B59" i="6"/>
  <c r="B60" i="6"/>
  <c r="E15" i="6"/>
  <c r="E14" i="6"/>
  <c r="E13" i="6"/>
  <c r="D15" i="6"/>
  <c r="D14" i="6"/>
  <c r="D13" i="6"/>
  <c r="E11" i="6"/>
  <c r="D11" i="6"/>
  <c r="C11" i="6"/>
  <c r="B11" i="6"/>
  <c r="F10" i="6"/>
  <c r="G10" i="6"/>
  <c r="F13" i="6"/>
  <c r="G13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/>
  <c r="AD16" i="3"/>
  <c r="AD9" i="3"/>
  <c r="AD11" i="3"/>
  <c r="AD28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4" i="7"/>
  <c r="F44" i="7"/>
  <c r="E45" i="7"/>
  <c r="F45" i="7"/>
  <c r="E46" i="7"/>
  <c r="F46" i="7"/>
  <c r="E47" i="7"/>
  <c r="F47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F26" i="6"/>
  <c r="G26" i="6"/>
  <c r="F36" i="6"/>
  <c r="G36" i="6"/>
  <c r="B54" i="6"/>
  <c r="E51" i="7"/>
  <c r="F51" i="7"/>
  <c r="E50" i="7"/>
  <c r="F50" i="7"/>
  <c r="E49" i="7"/>
  <c r="F49" i="7"/>
  <c r="E48" i="7"/>
  <c r="F48" i="7"/>
  <c r="E43" i="7"/>
  <c r="F43" i="7"/>
  <c r="E42" i="7"/>
  <c r="F42" i="7"/>
  <c r="F41" i="7"/>
  <c r="E55" i="6"/>
  <c r="B53" i="6"/>
  <c r="B51" i="6"/>
  <c r="G45" i="6"/>
  <c r="G44" i="6"/>
  <c r="F40" i="6"/>
  <c r="G40" i="6"/>
  <c r="F39" i="6"/>
  <c r="G39" i="6"/>
  <c r="F52" i="7"/>
  <c r="E52" i="7"/>
  <c r="E18" i="6"/>
  <c r="F18" i="6"/>
  <c r="G18" i="6"/>
  <c r="C55" i="6"/>
  <c r="G55" i="6"/>
  <c r="D55" i="6"/>
  <c r="F55" i="6"/>
  <c r="E37" i="7"/>
  <c r="F37" i="7"/>
  <c r="E36" i="7"/>
  <c r="F36" i="7"/>
  <c r="E35" i="7"/>
  <c r="F35" i="7"/>
  <c r="E34" i="7"/>
  <c r="F34" i="7"/>
  <c r="E33" i="7"/>
  <c r="F33" i="7"/>
  <c r="E32" i="7"/>
  <c r="F32" i="7"/>
  <c r="E31" i="7"/>
  <c r="F30" i="7"/>
  <c r="F13" i="7"/>
  <c r="F2" i="7"/>
  <c r="F28" i="6"/>
  <c r="G28" i="6"/>
  <c r="F27" i="6"/>
  <c r="G27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1" i="6"/>
  <c r="G7" i="5"/>
  <c r="K7" i="5"/>
  <c r="G8" i="5"/>
  <c r="G9" i="5"/>
  <c r="K9" i="5"/>
  <c r="G10" i="5"/>
  <c r="AE4" i="3"/>
  <c r="S4" i="5"/>
  <c r="E38" i="7"/>
  <c r="E17" i="6"/>
  <c r="F17" i="6"/>
  <c r="G17" i="6"/>
  <c r="F31" i="7"/>
  <c r="F38" i="7"/>
  <c r="G3" i="5"/>
  <c r="Q3" i="5"/>
  <c r="G5" i="5"/>
  <c r="G6" i="5"/>
  <c r="K6" i="5"/>
  <c r="G4" i="5"/>
  <c r="F14" i="6"/>
  <c r="F15" i="6"/>
  <c r="G15" i="6"/>
  <c r="F20" i="7"/>
  <c r="F16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4" i="6"/>
  <c r="F10" i="7"/>
  <c r="G11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H5" i="4"/>
  <c r="I5" i="4"/>
  <c r="H4" i="4"/>
  <c r="I4" i="4"/>
  <c r="H5" i="5"/>
  <c r="I5" i="5"/>
  <c r="H4" i="5"/>
  <c r="I4" i="5"/>
  <c r="R4" i="5"/>
  <c r="G74" i="6"/>
  <c r="E3" i="4"/>
  <c r="H7" i="4"/>
  <c r="I7" i="4"/>
  <c r="P6" i="4"/>
  <c r="P7" i="4"/>
  <c r="P5" i="5"/>
  <c r="Q5" i="5"/>
  <c r="R5" i="5"/>
  <c r="G75" i="6"/>
  <c r="G76" i="6"/>
  <c r="P3" i="4"/>
  <c r="P5" i="4"/>
  <c r="P4" i="4"/>
  <c r="Q4" i="4"/>
  <c r="H3" i="4"/>
  <c r="H6" i="4"/>
  <c r="I6" i="4"/>
  <c r="AE17" i="3"/>
  <c r="AE24" i="3"/>
  <c r="AE8" i="3"/>
  <c r="AE40" i="3"/>
  <c r="AE42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Q7" i="4"/>
  <c r="O13" i="4"/>
  <c r="Q13" i="4"/>
  <c r="T13" i="4"/>
  <c r="U13" i="4"/>
  <c r="O9" i="4"/>
  <c r="T9" i="4"/>
  <c r="Q5" i="4"/>
  <c r="AE34" i="3"/>
  <c r="AE11" i="3"/>
  <c r="AE27" i="3"/>
  <c r="AE20" i="3"/>
  <c r="AE14" i="3"/>
  <c r="AE30" i="3"/>
  <c r="S5" i="4"/>
  <c r="T5" i="4"/>
  <c r="S4" i="4"/>
  <c r="T4" i="4"/>
  <c r="AE29" i="3"/>
  <c r="AE18" i="3"/>
  <c r="AE43" i="3"/>
  <c r="R11" i="5"/>
  <c r="E24" i="6"/>
  <c r="F24" i="6"/>
  <c r="G24" i="6"/>
  <c r="K24" i="4"/>
  <c r="J4" i="4"/>
  <c r="AE16" i="3"/>
  <c r="AE13" i="3"/>
  <c r="AE22" i="3"/>
  <c r="AE37" i="3"/>
  <c r="AE6" i="3"/>
  <c r="AE10" i="3"/>
  <c r="S3" i="4"/>
  <c r="AE31" i="3"/>
  <c r="G15" i="4"/>
  <c r="D25" i="6"/>
  <c r="F25" i="6"/>
  <c r="Q6" i="4"/>
  <c r="R6" i="4"/>
  <c r="G68" i="6"/>
  <c r="Q10" i="4"/>
  <c r="R10" i="4"/>
  <c r="T8" i="4"/>
  <c r="U8" i="4"/>
  <c r="T10" i="4"/>
  <c r="U10" i="4"/>
  <c r="O5" i="4"/>
  <c r="Q9" i="4"/>
  <c r="R9" i="4"/>
  <c r="O7" i="4"/>
  <c r="R7" i="4"/>
  <c r="G69" i="6"/>
  <c r="U9" i="4"/>
  <c r="R5" i="4"/>
  <c r="G67" i="6"/>
  <c r="R13" i="4"/>
  <c r="R11" i="4"/>
  <c r="R12" i="4"/>
  <c r="R4" i="4"/>
  <c r="G66" i="6"/>
  <c r="R8" i="4"/>
  <c r="R14" i="4"/>
  <c r="I24" i="4"/>
  <c r="M24" i="4"/>
  <c r="I3" i="4"/>
  <c r="Q3" i="4"/>
  <c r="AE38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0" i="6"/>
  <c r="F20" i="6"/>
  <c r="G25" i="6"/>
  <c r="R3" i="4"/>
  <c r="G65" i="6"/>
  <c r="T3" i="4"/>
  <c r="J5" i="5"/>
  <c r="K5" i="5"/>
  <c r="J4" i="5"/>
  <c r="K4" i="5"/>
  <c r="U4" i="5"/>
  <c r="AE25" i="3"/>
  <c r="S5" i="5"/>
  <c r="T5" i="5"/>
  <c r="U5" i="5"/>
  <c r="S6" i="4"/>
  <c r="T6" i="4"/>
  <c r="S7" i="4"/>
  <c r="T7" i="4"/>
  <c r="J3" i="4"/>
  <c r="K3" i="4"/>
  <c r="M3" i="4"/>
  <c r="J6" i="4"/>
  <c r="K6" i="4"/>
  <c r="M6" i="4"/>
  <c r="H74" i="6"/>
  <c r="G20" i="6"/>
  <c r="J7" i="4"/>
  <c r="K7" i="4"/>
  <c r="M7" i="4"/>
  <c r="J5" i="4"/>
  <c r="K5" i="4"/>
  <c r="M5" i="4"/>
  <c r="K4" i="4"/>
  <c r="M4" i="4"/>
  <c r="R15" i="4"/>
  <c r="E21" i="6"/>
  <c r="F21" i="6"/>
  <c r="D29" i="6"/>
  <c r="F29" i="6"/>
  <c r="G29" i="6"/>
  <c r="G70" i="6"/>
  <c r="U3" i="4"/>
  <c r="H65" i="6"/>
  <c r="D65" i="6"/>
  <c r="H75" i="6"/>
  <c r="H76" i="6"/>
  <c r="U11" i="5"/>
  <c r="E35" i="6"/>
  <c r="F35" i="6"/>
  <c r="G35" i="6"/>
  <c r="F74" i="6"/>
  <c r="D74" i="6"/>
  <c r="C74" i="6"/>
  <c r="B74" i="6"/>
  <c r="F30" i="6"/>
  <c r="U4" i="4"/>
  <c r="H66" i="6"/>
  <c r="U6" i="4"/>
  <c r="H68" i="6"/>
  <c r="U5" i="4"/>
  <c r="H67" i="6"/>
  <c r="U7" i="4"/>
  <c r="H69" i="6"/>
  <c r="G21" i="6"/>
  <c r="G30" i="6"/>
  <c r="F65" i="6"/>
  <c r="B65" i="6"/>
  <c r="C65" i="6"/>
  <c r="E65" i="6"/>
  <c r="E74" i="6"/>
  <c r="D75" i="6"/>
  <c r="B75" i="6"/>
  <c r="C75" i="6"/>
  <c r="E75" i="6"/>
  <c r="F75" i="6"/>
  <c r="F76" i="6"/>
  <c r="B69" i="6"/>
  <c r="F69" i="6"/>
  <c r="C69" i="6"/>
  <c r="D69" i="6"/>
  <c r="B68" i="6"/>
  <c r="D68" i="6"/>
  <c r="F68" i="6"/>
  <c r="C68" i="6"/>
  <c r="B67" i="6"/>
  <c r="C67" i="6"/>
  <c r="D67" i="6"/>
  <c r="F67" i="6"/>
  <c r="U15" i="4"/>
  <c r="E34" i="6"/>
  <c r="F34" i="6"/>
  <c r="G34" i="6"/>
  <c r="H70" i="6"/>
  <c r="F66" i="6"/>
  <c r="D66" i="6"/>
  <c r="C66" i="6"/>
  <c r="B66" i="6"/>
  <c r="C57" i="6"/>
  <c r="E57" i="6"/>
  <c r="G57" i="6"/>
  <c r="D58" i="6"/>
  <c r="F58" i="6"/>
  <c r="C59" i="6"/>
  <c r="E59" i="6"/>
  <c r="G59" i="6"/>
  <c r="D60" i="6"/>
  <c r="F60" i="6"/>
  <c r="D56" i="6"/>
  <c r="F56" i="6"/>
  <c r="C56" i="6"/>
  <c r="D57" i="6"/>
  <c r="F57" i="6"/>
  <c r="C58" i="6"/>
  <c r="E58" i="6"/>
  <c r="G58" i="6"/>
  <c r="D59" i="6"/>
  <c r="F59" i="6"/>
  <c r="C60" i="6"/>
  <c r="E60" i="6"/>
  <c r="G60" i="6"/>
  <c r="E56" i="6"/>
  <c r="G56" i="6"/>
  <c r="D37" i="6"/>
  <c r="F37" i="6"/>
  <c r="G37" i="6"/>
  <c r="D38" i="6"/>
  <c r="F38" i="6"/>
  <c r="G38" i="6"/>
  <c r="E76" i="6"/>
  <c r="E67" i="6"/>
  <c r="E69" i="6"/>
  <c r="E68" i="6"/>
  <c r="E66" i="6"/>
  <c r="F70" i="6"/>
  <c r="G41" i="6"/>
  <c r="G43" i="6"/>
  <c r="F41" i="6"/>
  <c r="F43" i="6"/>
  <c r="E70" i="6"/>
</calcChain>
</file>

<file path=xl/sharedStrings.xml><?xml version="1.0" encoding="utf-8"?>
<sst xmlns="http://schemas.openxmlformats.org/spreadsheetml/2006/main" count="2043" uniqueCount="541">
  <si>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</si>
  <si>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</si>
  <si>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</si>
  <si>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</si>
  <si>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</si>
  <si>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</si>
  <si>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</si>
  <si>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</si>
  <si>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</si>
  <si>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</si>
  <si>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</si>
  <si>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</si>
  <si>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</si>
  <si>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</si>
  <si>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</si>
  <si>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</si>
  <si>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</si>
  <si>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</si>
  <si>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</si>
  <si>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</si>
  <si>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</si>
  <si>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</si>
  <si>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</si>
  <si>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</si>
  <si>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</si>
  <si>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</si>
  <si>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</si>
  <si>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</si>
  <si>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</si>
  <si>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</si>
  <si>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</si>
  <si>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</si>
  <si>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</si>
  <si>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</si>
  <si>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</si>
  <si>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</si>
  <si>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</si>
  <si>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</si>
  <si>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</si>
  <si>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</si>
  <si>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</si>
  <si>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</si>
  <si>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</si>
  <si>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</si>
  <si>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</si>
  <si>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</si>
  <si>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</si>
  <si>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</si>
  <si>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</si>
  <si>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</si>
  <si>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</si>
  <si>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</si>
  <si>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</si>
  <si>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</si>
  <si>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</si>
  <si>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</si>
  <si>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</si>
  <si>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</si>
  <si>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</si>
  <si>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</si>
  <si>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</si>
  <si>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</si>
  <si>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</si>
  <si>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</si>
  <si>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</si>
  <si>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</si>
  <si>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</si>
  <si>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</si>
  <si>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</si>
  <si>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</si>
  <si>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</si>
  <si>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</si>
  <si>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</si>
  <si>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</si>
  <si>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</si>
  <si>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</si>
  <si>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</si>
  <si>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</si>
  <si>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</si>
  <si>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</si>
  <si>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</si>
  <si>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</si>
  <si>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</si>
  <si>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</si>
  <si>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</si>
  <si>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</si>
  <si>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</si>
  <si>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</si>
  <si>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</si>
  <si>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</si>
  <si>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</si>
  <si>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</si>
  <si>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</si>
  <si>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</si>
  <si>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</si>
  <si>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</si>
  <si>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</si>
  <si>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</si>
  <si>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</si>
  <si>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</si>
  <si>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</si>
  <si>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</si>
  <si>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</si>
  <si>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</si>
  <si>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</si>
  <si>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</si>
  <si>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</si>
  <si>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</si>
  <si>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</si>
  <si>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</si>
  <si>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</si>
  <si>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</si>
  <si>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</si>
  <si>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</si>
  <si>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</si>
  <si>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</si>
  <si>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</si>
  <si>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</si>
  <si>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</si>
  <si>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</si>
  <si>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</si>
  <si>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</si>
  <si>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</si>
  <si>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</si>
  <si>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</si>
  <si>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</si>
  <si>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</si>
  <si>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</si>
  <si>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</si>
  <si>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</si>
  <si>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</si>
  <si>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</si>
  <si>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</si>
  <si>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</si>
  <si>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</si>
  <si>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</si>
  <si>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</si>
  <si>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</si>
  <si>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</si>
  <si>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</si>
  <si>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</si>
  <si>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</si>
  <si>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</si>
  <si>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</si>
  <si>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</si>
  <si>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</si>
  <si>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</si>
  <si>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</si>
  <si>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</si>
  <si>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</si>
  <si>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</si>
  <si>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</si>
  <si>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</si>
  <si>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</si>
  <si>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</si>
  <si>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</si>
  <si>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</si>
  <si>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</si>
  <si>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</si>
  <si>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</si>
  <si>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</si>
  <si>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</si>
  <si>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</si>
  <si>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</si>
  <si>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</si>
  <si>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</si>
  <si>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</si>
  <si>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</si>
  <si>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</si>
  <si>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</si>
  <si>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</si>
  <si>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</si>
  <si>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</si>
  <si>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</si>
  <si>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</si>
  <si>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</si>
  <si>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</si>
  <si>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</si>
  <si>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</si>
  <si>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</si>
  <si>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</si>
  <si>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</si>
  <si>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</si>
  <si>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</si>
  <si>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</si>
  <si>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</si>
  <si>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</si>
  <si>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</si>
  <si>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</si>
  <si>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</si>
  <si>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</si>
  <si>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</si>
  <si>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</si>
  <si>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</si>
  <si>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</si>
  <si>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</si>
  <si>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</si>
  <si>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</si>
  <si>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</si>
  <si>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</si>
  <si>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</si>
  <si>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</si>
  <si>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</si>
  <si>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</si>
  <si>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</si>
  <si>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</si>
  <si>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</si>
  <si>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</si>
  <si>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</si>
  <si>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</si>
  <si>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</si>
  <si>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</si>
  <si>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</si>
  <si>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</si>
  <si>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</si>
  <si>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</si>
  <si>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</si>
  <si>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</si>
  <si>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</si>
  <si>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</si>
  <si>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</si>
  <si>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</si>
  <si>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</si>
  <si>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</si>
  <si>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</si>
  <si>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</si>
  <si>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</si>
  <si>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</si>
  <si>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</si>
  <si>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</si>
  <si>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</si>
  <si>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</si>
  <si>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</si>
  <si>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</si>
  <si>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</si>
  <si>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</si>
  <si>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</si>
  <si>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</si>
  <si>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</si>
  <si>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</si>
  <si>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</si>
  <si>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</si>
  <si>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</si>
  <si>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</si>
  <si>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</si>
  <si>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</si>
  <si>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</si>
  <si>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</si>
  <si>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</si>
  <si>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</si>
  <si>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</si>
  <si>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</si>
  <si>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</si>
  <si>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</si>
  <si>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</si>
  <si>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</si>
  <si>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</si>
  <si>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</si>
  <si>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</si>
  <si>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</si>
  <si>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</si>
  <si>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</si>
  <si>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</si>
  <si>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</si>
  <si>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</si>
  <si>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</si>
  <si>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</si>
  <si>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</si>
  <si>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</si>
  <si>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</si>
  <si>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</si>
  <si>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</si>
  <si>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</si>
  <si>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</si>
  <si>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</si>
  <si>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</si>
  <si>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</si>
  <si>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</si>
  <si>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</si>
  <si>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</si>
  <si>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</si>
  <si>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</si>
  <si>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</si>
  <si>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</si>
  <si>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</si>
  <si>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</si>
  <si>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</si>
  <si>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</si>
  <si>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</si>
  <si>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</si>
  <si>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</si>
  <si>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</si>
  <si>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</si>
  <si>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</si>
  <si>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</si>
  <si>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</si>
  <si>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</si>
  <si>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</si>
  <si>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</si>
  <si>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</si>
  <si>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</si>
  <si>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</si>
  <si>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</si>
  <si>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</si>
  <si>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</si>
  <si>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</si>
  <si>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</si>
  <si>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</si>
  <si>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</si>
  <si>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</si>
  <si>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</si>
  <si>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</si>
  <si>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</si>
  <si>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</si>
  <si>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</si>
  <si>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</si>
  <si>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</si>
  <si>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</si>
  <si>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</si>
  <si>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</si>
  <si>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</si>
  <si>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</si>
  <si>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</si>
  <si>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</si>
  <si>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</si>
  <si>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</si>
  <si>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</si>
  <si>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</si>
  <si>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</si>
  <si>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</si>
  <si>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</si>
  <si>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</si>
  <si>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</si>
  <si>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</si>
  <si>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</si>
  <si>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</si>
  <si>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</si>
  <si>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</si>
  <si>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</si>
  <si>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</si>
  <si>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</si>
  <si>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</si>
  <si>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</si>
  <si>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</si>
  <si>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</si>
  <si>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</si>
  <si>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</si>
  <si>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</si>
  <si>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</si>
  <si>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</si>
  <si>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</si>
  <si>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</si>
  <si>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</si>
  <si>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</si>
  <si>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</si>
  <si>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</si>
  <si>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</si>
  <si>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</si>
  <si>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</si>
  <si>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</si>
  <si>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</si>
  <si>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</si>
  <si>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</si>
  <si>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</si>
  <si>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</si>
  <si>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</si>
  <si>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</si>
  <si>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</si>
  <si>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</si>
  <si>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</si>
  <si>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</si>
  <si>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</si>
  <si>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</si>
  <si>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</si>
  <si>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</si>
  <si>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</si>
  <si>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</si>
  <si>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</si>
  <si>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</si>
  <si>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</si>
  <si>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</si>
  <si>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</si>
  <si>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</si>
  <si>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</si>
  <si>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</si>
  <si>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</si>
  <si>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</si>
  <si>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</si>
  <si>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</si>
  <si>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</si>
  <si>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</si>
  <si>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</si>
  <si>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</si>
  <si>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</si>
  <si>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</si>
  <si>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</si>
  <si>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</si>
  <si>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</si>
  <si>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</si>
  <si>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</si>
  <si>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</si>
  <si>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</si>
  <si>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</si>
  <si>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</si>
  <si>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</si>
  <si>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</si>
  <si>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</si>
  <si>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</si>
  <si>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</si>
  <si>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</si>
  <si>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</si>
  <si>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</si>
  <si>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</si>
  <si>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</si>
  <si>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</si>
  <si>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</si>
  <si>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</si>
  <si>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</si>
  <si>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</si>
  <si>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</si>
  <si>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</si>
  <si>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</si>
  <si>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</si>
  <si>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</si>
  <si>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</si>
  <si>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</si>
  <si>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</si>
  <si>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</si>
  <si>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</si>
  <si>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</si>
  <si>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</si>
  <si>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</si>
  <si>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</si>
  <si>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</si>
  <si>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</si>
  <si>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</si>
  <si>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</si>
  <si>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</si>
  <si>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</si>
  <si>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</si>
  <si>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</si>
  <si>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</si>
  <si>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</si>
  <si>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</si>
  <si>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</si>
  <si>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</si>
  <si>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</si>
  <si>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</si>
  <si>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</si>
  <si>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</si>
  <si>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</si>
  <si>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</si>
  <si>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</si>
  <si>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</si>
  <si>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</si>
  <si>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</si>
  <si>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</si>
  <si>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</si>
  <si>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</si>
  <si>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</si>
  <si>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</si>
  <si>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</si>
  <si>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</si>
  <si>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</si>
  <si>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</si>
  <si>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</si>
  <si>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</si>
  <si>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</si>
  <si>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</si>
  <si>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</si>
  <si>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</si>
  <si>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</si>
  <si>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</si>
  <si>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</si>
  <si>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</si>
  <si>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</si>
  <si>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</si>
  <si>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</si>
  <si>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</si>
  <si>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</si>
  <si>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</si>
  <si>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</si>
  <si>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</si>
  <si>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</si>
  <si>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</si>
  <si>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</si>
  <si>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</si>
  <si>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</si>
  <si>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</si>
  <si>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</si>
  <si>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</si>
  <si>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</si>
  <si>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</si>
  <si>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</si>
  <si>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</si>
  <si>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</si>
  <si>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</si>
  <si>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</si>
  <si>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</si>
  <si>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</si>
  <si>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</si>
  <si>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</si>
  <si>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</si>
  <si>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</si>
  <si>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</si>
  <si>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</si>
  <si>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</si>
  <si>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</si>
  <si>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</si>
  <si>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</si>
  <si>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</si>
  <si>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</si>
  <si>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applications</t>
  </si>
  <si>
    <t>Your Yield</t>
  </si>
  <si>
    <t>Your Farm</t>
  </si>
  <si>
    <t>Developed by Amanda Smith and Adam Rabinowitz</t>
  </si>
  <si>
    <t>RR Weed Control Detail</t>
  </si>
  <si>
    <t>South Georgia, 2018</t>
  </si>
  <si>
    <t>24' Flex</t>
  </si>
  <si>
    <t>36' Flex</t>
  </si>
  <si>
    <t>24' Rigid</t>
  </si>
  <si>
    <t>Liberty Weed Control Detail</t>
  </si>
  <si>
    <t>2,4-D</t>
  </si>
  <si>
    <t>Dual Magnum</t>
  </si>
  <si>
    <t xml:space="preserve">Liberty </t>
  </si>
  <si>
    <t>Enlist Weed Control Detail</t>
  </si>
  <si>
    <t>Extendimax Weed Control Detail</t>
  </si>
  <si>
    <t>Valor</t>
  </si>
  <si>
    <t>Xtendimax</t>
  </si>
  <si>
    <t>Enlist Duo</t>
  </si>
  <si>
    <t>Weed Control</t>
  </si>
  <si>
    <t>Disease Control *</t>
  </si>
  <si>
    <t>Irrigation**</t>
  </si>
  <si>
    <t>** Average of diesel and electric irrigation application costs.  Electric is estimated at $7/appl and diesel is estimated at $10.80/appl when diesel costs $2.25/gal.</t>
  </si>
  <si>
    <t>* In the case of Asian Soybean Rust or other disease, add $15-$30 for additional fungicide sprays.</t>
  </si>
  <si>
    <t>Seeds</t>
  </si>
  <si>
    <t>Enlist Seed</t>
  </si>
  <si>
    <t>Extendimax Seed</t>
  </si>
  <si>
    <t>Liberty Seed</t>
  </si>
  <si>
    <t>RR Seed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</si>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</sst>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8" fontId="36" fillId="43" borderId="15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6" fillId="44" borderId="0" xfId="0" applyNumberFormat="1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H1:I5" totalsRowShown="0" headerRowDxfId="4" dataDxfId="3">
  <autoFilter ref="H1:I5"/>
  <tableColumns count="2">
    <tableColumn id="1" name="Seeds" dataDxfId="2"/>
    <tableColumn id="2" name="Bag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B1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70" t="s">
        <v>509</v>
      </c>
      <c r="C1" s="270"/>
      <c r="D1" s="270"/>
      <c r="E1" s="270"/>
      <c r="F1" s="270"/>
      <c r="G1" s="270"/>
      <c r="H1" s="270"/>
      <c r="I1" s="57"/>
    </row>
    <row r="2" spans="1:9" x14ac:dyDescent="0.2">
      <c r="B2" s="270" t="s">
        <v>517</v>
      </c>
      <c r="C2" s="270"/>
      <c r="D2" s="270"/>
      <c r="E2" s="270"/>
      <c r="F2" s="270"/>
      <c r="G2" s="270"/>
      <c r="H2" s="270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0" t="s">
        <v>362</v>
      </c>
      <c r="C4" s="270"/>
      <c r="D4" s="270"/>
      <c r="E4" s="270"/>
      <c r="F4" s="270"/>
      <c r="G4" s="270"/>
      <c r="H4" s="270"/>
      <c r="I4" s="57"/>
    </row>
    <row r="6" spans="1:9" x14ac:dyDescent="0.2">
      <c r="B6" s="77" t="s">
        <v>363</v>
      </c>
      <c r="C6" s="57">
        <v>60</v>
      </c>
      <c r="D6" t="s">
        <v>484</v>
      </c>
      <c r="E6" t="s">
        <v>513</v>
      </c>
    </row>
    <row r="7" spans="1:9" x14ac:dyDescent="0.2">
      <c r="F7" s="244"/>
    </row>
    <row r="8" spans="1:9" x14ac:dyDescent="0.2">
      <c r="B8" s="107" t="s">
        <v>364</v>
      </c>
      <c r="C8" s="107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5" t="s">
        <v>514</v>
      </c>
    </row>
    <row r="9" spans="1:9" x14ac:dyDescent="0.2">
      <c r="B9" t="s">
        <v>539</v>
      </c>
      <c r="C9" t="s">
        <v>485</v>
      </c>
      <c r="D9">
        <v>1</v>
      </c>
      <c r="E9" s="224">
        <f>IF(B9="Enlist Seed",'Fert, Weed, Insct, Dis'!I2,(IF(B9="RR Seed",'Fert, Weed, Insct, Dis'!I5,IF(B9="Extendimax Seed",'Fert, Weed, Insct, Dis'!I3,IF(B9="Liberty Seed",'Fert, Weed, Insct, Dis'!I4)))))</f>
        <v>53</v>
      </c>
      <c r="F9" s="223">
        <f t="shared" ref="F9" si="0">E9*D9</f>
        <v>53</v>
      </c>
      <c r="G9" s="224">
        <f>F9/yield</f>
        <v>0.8833333333333333</v>
      </c>
    </row>
    <row r="10" spans="1:9" s="222" customFormat="1" x14ac:dyDescent="0.2">
      <c r="B10" s="222" t="s">
        <v>486</v>
      </c>
      <c r="C10" s="222" t="s">
        <v>376</v>
      </c>
      <c r="D10" s="222">
        <v>1</v>
      </c>
      <c r="E10" s="223">
        <v>5</v>
      </c>
      <c r="F10" s="223">
        <f>E10*D10</f>
        <v>5</v>
      </c>
      <c r="G10" s="224">
        <f>F10/yield</f>
        <v>8.3333333333333329E-2</v>
      </c>
      <c r="H10" s="244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43</v>
      </c>
      <c r="F11" s="224">
        <f>'Fert, Weed, Insct, Dis'!E3</f>
        <v>14.190000000000001</v>
      </c>
      <c r="G11" s="224">
        <f>'Fert, Weed, Insct, Dis'!F3</f>
        <v>0.23650000000000002</v>
      </c>
      <c r="H11" s="244"/>
    </row>
    <row r="12" spans="1:9" x14ac:dyDescent="0.2">
      <c r="A12" s="154" t="s">
        <v>430</v>
      </c>
      <c r="B12" t="s">
        <v>367</v>
      </c>
      <c r="F12" s="41"/>
      <c r="G12" s="78"/>
    </row>
    <row r="13" spans="1:9" x14ac:dyDescent="0.2">
      <c r="B13" s="105" t="s">
        <v>368</v>
      </c>
      <c r="C13" t="s">
        <v>360</v>
      </c>
      <c r="D13">
        <f>'Fert, Weed, Insct, Dis'!$C$4</f>
        <v>40</v>
      </c>
      <c r="E13" s="78">
        <f>'Fert, Weed, Insct, Dis'!D4</f>
        <v>0.38</v>
      </c>
      <c r="F13" s="41">
        <f t="shared" ref="F13:F18" si="1">E13*D13</f>
        <v>15.2</v>
      </c>
      <c r="G13" s="78">
        <f t="shared" ref="G13:G18" si="2">F13/yield</f>
        <v>0.2533333333333333</v>
      </c>
    </row>
    <row r="14" spans="1:9" x14ac:dyDescent="0.2">
      <c r="B14" s="105" t="s">
        <v>369</v>
      </c>
      <c r="C14" t="s">
        <v>360</v>
      </c>
      <c r="D14" s="222">
        <f>'Fert, Weed, Insct, Dis'!$C$5</f>
        <v>80</v>
      </c>
      <c r="E14" s="78">
        <f>'Fert, Weed, Insct, Dis'!D5</f>
        <v>0.28999999999999998</v>
      </c>
      <c r="F14" s="41">
        <f t="shared" si="1"/>
        <v>23.2</v>
      </c>
      <c r="G14" s="78">
        <f t="shared" si="2"/>
        <v>0.38666666666666666</v>
      </c>
      <c r="H14" s="244"/>
    </row>
    <row r="15" spans="1:9" x14ac:dyDescent="0.2">
      <c r="B15" s="105" t="s">
        <v>489</v>
      </c>
      <c r="C15" t="s">
        <v>360</v>
      </c>
      <c r="D15" s="222">
        <f>'Fert, Weed, Insct, Dis'!$C$6</f>
        <v>0.5</v>
      </c>
      <c r="E15" s="78">
        <f>'Fert, Weed, Insct, Dis'!D6</f>
        <v>3.2</v>
      </c>
      <c r="F15" s="41">
        <f t="shared" si="1"/>
        <v>1.6</v>
      </c>
      <c r="G15" s="78">
        <f t="shared" si="2"/>
        <v>2.6666666666666668E-2</v>
      </c>
    </row>
    <row r="16" spans="1:9" x14ac:dyDescent="0.2">
      <c r="A16" s="154" t="s">
        <v>431</v>
      </c>
      <c r="B16" t="s">
        <v>530</v>
      </c>
      <c r="C16" t="s">
        <v>376</v>
      </c>
      <c r="D16">
        <v>1</v>
      </c>
      <c r="E16" s="224">
        <f>IF(B9="Enlist Seed",'Fert, Weed, Insct, Dis'!L27,(IF(B9="RR Seed",'Fert, Weed, Insct, Dis'!E20,IF(B9="Extendimax Seed",'Fert, Weed, Insct, Dis'!E27,IF(B9="Liberty Seed",'Fert, Weed, Insct, Dis'!L19)))))</f>
        <v>23.604000000000003</v>
      </c>
      <c r="F16" s="41">
        <f t="shared" si="1"/>
        <v>23.604000000000003</v>
      </c>
      <c r="G16" s="78">
        <f t="shared" si="2"/>
        <v>0.39340000000000003</v>
      </c>
      <c r="H16" s="244"/>
    </row>
    <row r="17" spans="1:8" x14ac:dyDescent="0.2">
      <c r="A17" s="154" t="s">
        <v>432</v>
      </c>
      <c r="B17" t="s">
        <v>370</v>
      </c>
      <c r="C17" t="s">
        <v>376</v>
      </c>
      <c r="D17">
        <v>1</v>
      </c>
      <c r="E17" s="78">
        <f>'Fert, Weed, Insct, Dis'!$E$38</f>
        <v>4.2279999999999998</v>
      </c>
      <c r="F17" s="41">
        <f t="shared" si="1"/>
        <v>4.2279999999999998</v>
      </c>
      <c r="G17" s="78">
        <f t="shared" si="2"/>
        <v>7.0466666666666664E-2</v>
      </c>
    </row>
    <row r="18" spans="1:8" x14ac:dyDescent="0.2">
      <c r="A18" s="154" t="s">
        <v>433</v>
      </c>
      <c r="B18" s="43" t="s">
        <v>531</v>
      </c>
      <c r="C18" t="s">
        <v>376</v>
      </c>
      <c r="D18">
        <v>1</v>
      </c>
      <c r="E18" s="78">
        <f>'Fert, Weed, Insct, Dis'!$E$52</f>
        <v>21.6</v>
      </c>
      <c r="F18" s="41">
        <f t="shared" si="1"/>
        <v>21.6</v>
      </c>
      <c r="G18" s="78">
        <f t="shared" si="2"/>
        <v>0.36000000000000004</v>
      </c>
      <c r="H18" s="244"/>
    </row>
    <row r="19" spans="1:8" x14ac:dyDescent="0.2">
      <c r="A19" s="154" t="s">
        <v>435</v>
      </c>
      <c r="B19" t="s">
        <v>371</v>
      </c>
      <c r="F19" s="41"/>
      <c r="G19" s="78"/>
    </row>
    <row r="20" spans="1:8" x14ac:dyDescent="0.2">
      <c r="B20" s="105" t="s">
        <v>372</v>
      </c>
      <c r="C20" t="s">
        <v>377</v>
      </c>
      <c r="D20" s="205">
        <f>PreHarvest!O15+PreHarvest!I24</f>
        <v>4.3665095913792307</v>
      </c>
      <c r="E20" s="41">
        <v>2.25</v>
      </c>
      <c r="F20" s="41">
        <f>E20*D20</f>
        <v>9.8246465806032681</v>
      </c>
      <c r="G20" s="78">
        <f>F20/yield</f>
        <v>0.16374410967672112</v>
      </c>
    </row>
    <row r="21" spans="1:8" x14ac:dyDescent="0.2">
      <c r="B21" s="105" t="s">
        <v>373</v>
      </c>
      <c r="C21" t="s">
        <v>376</v>
      </c>
      <c r="D21">
        <v>1</v>
      </c>
      <c r="E21" s="41">
        <f>PreHarvest!$R$15+PreHarvest!$K$24</f>
        <v>11.810832719412662</v>
      </c>
      <c r="F21" s="41">
        <f>E21*D21</f>
        <v>11.810832719412662</v>
      </c>
      <c r="G21" s="78">
        <f>F21/yield</f>
        <v>0.19684721199021105</v>
      </c>
      <c r="H21" s="244"/>
    </row>
    <row r="22" spans="1:8" x14ac:dyDescent="0.2">
      <c r="A22" s="154" t="s">
        <v>434</v>
      </c>
      <c r="B22" t="s">
        <v>374</v>
      </c>
      <c r="F22" s="41"/>
      <c r="G22" s="78"/>
    </row>
    <row r="23" spans="1:8" x14ac:dyDescent="0.2">
      <c r="B23" s="105" t="s">
        <v>372</v>
      </c>
      <c r="C23" t="s">
        <v>377</v>
      </c>
      <c r="D23" s="205">
        <f>Harvest!O11</f>
        <v>2.3814425803921573</v>
      </c>
      <c r="E23" s="41">
        <f>E20</f>
        <v>2.25</v>
      </c>
      <c r="F23" s="41">
        <f t="shared" ref="F23:F29" si="3">E23*D23</f>
        <v>5.3582458058823539</v>
      </c>
      <c r="G23" s="78">
        <f t="shared" ref="G23:G29" si="4">F23/yield</f>
        <v>8.9304096764705895E-2</v>
      </c>
    </row>
    <row r="24" spans="1:8" x14ac:dyDescent="0.2">
      <c r="B24" s="105" t="s">
        <v>373</v>
      </c>
      <c r="C24" t="s">
        <v>376</v>
      </c>
      <c r="D24">
        <v>1</v>
      </c>
      <c r="E24" s="41">
        <f>Harvest!$R$11</f>
        <v>7.9570672066194916</v>
      </c>
      <c r="F24" s="41">
        <f t="shared" si="3"/>
        <v>7.9570672066194916</v>
      </c>
      <c r="G24" s="78">
        <f t="shared" si="4"/>
        <v>0.13261778677699151</v>
      </c>
      <c r="H24" s="244"/>
    </row>
    <row r="25" spans="1:8" x14ac:dyDescent="0.2">
      <c r="B25" t="s">
        <v>378</v>
      </c>
      <c r="C25" t="s">
        <v>383</v>
      </c>
      <c r="D25" s="205">
        <f>1.25*((PreHarvest!G15+PreHarvest!G24)+Harvest!G11)</f>
        <v>0.92773192319269149</v>
      </c>
      <c r="E25" s="41">
        <v>13</v>
      </c>
      <c r="F25" s="41">
        <f t="shared" si="3"/>
        <v>12.060515001504989</v>
      </c>
      <c r="G25" s="78">
        <f t="shared" si="4"/>
        <v>0.20100858335841648</v>
      </c>
    </row>
    <row r="26" spans="1:8" x14ac:dyDescent="0.2">
      <c r="B26" s="43" t="s">
        <v>532</v>
      </c>
      <c r="C26" t="s">
        <v>512</v>
      </c>
      <c r="D26">
        <v>5</v>
      </c>
      <c r="E26" s="41">
        <v>8.9</v>
      </c>
      <c r="F26" s="41">
        <f t="shared" ref="F26" si="5">E26*D26</f>
        <v>44.5</v>
      </c>
      <c r="G26" s="78">
        <f t="shared" si="4"/>
        <v>0.7416666666666667</v>
      </c>
      <c r="H26" s="244"/>
    </row>
    <row r="27" spans="1:8" x14ac:dyDescent="0.2">
      <c r="B27" t="s">
        <v>379</v>
      </c>
      <c r="C27" t="s">
        <v>376</v>
      </c>
      <c r="D27">
        <v>1</v>
      </c>
      <c r="E27" s="41">
        <v>10</v>
      </c>
      <c r="F27" s="41">
        <f t="shared" si="3"/>
        <v>10</v>
      </c>
      <c r="G27" s="78">
        <f t="shared" si="4"/>
        <v>0.16666666666666666</v>
      </c>
    </row>
    <row r="28" spans="1:8" x14ac:dyDescent="0.2">
      <c r="B28" t="s">
        <v>380</v>
      </c>
      <c r="C28" t="s">
        <v>376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4"/>
    </row>
    <row r="29" spans="1:8" x14ac:dyDescent="0.2">
      <c r="B29" t="s">
        <v>381</v>
      </c>
      <c r="C29" t="s">
        <v>382</v>
      </c>
      <c r="D29" s="78">
        <f>SUM(F9:F28)*0.5</f>
        <v>131.56665365701139</v>
      </c>
      <c r="E29" s="104">
        <v>0.06</v>
      </c>
      <c r="F29" s="41">
        <f t="shared" si="3"/>
        <v>7.8939992194206825</v>
      </c>
      <c r="G29" s="78">
        <f t="shared" si="4"/>
        <v>0.13156665365701137</v>
      </c>
    </row>
    <row r="30" spans="1:8" x14ac:dyDescent="0.2">
      <c r="B30" s="265" t="s">
        <v>384</v>
      </c>
      <c r="C30" s="265"/>
      <c r="D30" s="265"/>
      <c r="E30" s="265"/>
      <c r="F30" s="106">
        <f>SUM(F9:F29)</f>
        <v>271.02730653344344</v>
      </c>
      <c r="G30" s="106">
        <f>SUM(G9:G29)</f>
        <v>4.5171217755573903</v>
      </c>
      <c r="H30" s="244"/>
    </row>
    <row r="32" spans="1:8" x14ac:dyDescent="0.2">
      <c r="B32" s="108" t="s">
        <v>388</v>
      </c>
      <c r="C32" s="108"/>
      <c r="D32" s="108"/>
      <c r="E32" s="108"/>
      <c r="F32" s="108"/>
      <c r="G32" s="108"/>
      <c r="H32" s="244"/>
    </row>
    <row r="33" spans="1:10" x14ac:dyDescent="0.2">
      <c r="B33" s="264" t="s">
        <v>389</v>
      </c>
      <c r="C33" s="264"/>
      <c r="D33" s="264"/>
      <c r="E33" s="264"/>
      <c r="F33" s="264"/>
      <c r="G33" s="264"/>
      <c r="H33" s="264"/>
    </row>
    <row r="34" spans="1:10" x14ac:dyDescent="0.2">
      <c r="B34" s="105" t="s">
        <v>390</v>
      </c>
      <c r="C34" t="s">
        <v>376</v>
      </c>
      <c r="D34">
        <v>1</v>
      </c>
      <c r="E34" s="41">
        <f>PreHarvest!$U$15+PreHarvest!$M$24</f>
        <v>33.529230939787226</v>
      </c>
      <c r="F34" s="41">
        <f>E34*D34</f>
        <v>33.529230939787226</v>
      </c>
      <c r="G34" s="41">
        <f t="shared" ref="G34:G40" si="6">F34/yield</f>
        <v>0.55882051566312041</v>
      </c>
      <c r="J34" s="126"/>
    </row>
    <row r="35" spans="1:10" x14ac:dyDescent="0.2">
      <c r="B35" s="105" t="s">
        <v>391</v>
      </c>
      <c r="C35" t="s">
        <v>376</v>
      </c>
      <c r="D35">
        <v>1</v>
      </c>
      <c r="E35" s="41">
        <f>Harvest!$U$11</f>
        <v>38.471263233215403</v>
      </c>
      <c r="F35" s="41">
        <f t="shared" ref="F35:F40" si="7">E35*D35</f>
        <v>38.471263233215403</v>
      </c>
      <c r="G35" s="41">
        <f t="shared" si="6"/>
        <v>0.64118772055359008</v>
      </c>
      <c r="H35" s="244"/>
    </row>
    <row r="36" spans="1:10" x14ac:dyDescent="0.2">
      <c r="A36" s="43"/>
      <c r="B36" s="105" t="s">
        <v>421</v>
      </c>
      <c r="C36" t="s">
        <v>376</v>
      </c>
      <c r="D36">
        <v>1</v>
      </c>
      <c r="E36" s="41">
        <v>130</v>
      </c>
      <c r="F36" s="41">
        <f>E36*D36</f>
        <v>130</v>
      </c>
      <c r="G36" s="41">
        <f t="shared" si="6"/>
        <v>2.1666666666666665</v>
      </c>
    </row>
    <row r="37" spans="1:10" x14ac:dyDescent="0.2">
      <c r="B37" t="s">
        <v>392</v>
      </c>
      <c r="C37" t="s">
        <v>393</v>
      </c>
      <c r="D37" s="41">
        <f>tvc</f>
        <v>271.02730653344344</v>
      </c>
      <c r="E37" s="109">
        <v>0.05</v>
      </c>
      <c r="F37" s="41">
        <f t="shared" si="7"/>
        <v>13.551365326672173</v>
      </c>
      <c r="G37" s="41">
        <f t="shared" si="6"/>
        <v>0.22585608877786953</v>
      </c>
      <c r="H37" s="244"/>
    </row>
    <row r="38" spans="1:10" x14ac:dyDescent="0.2">
      <c r="B38" t="s">
        <v>394</v>
      </c>
      <c r="C38" t="s">
        <v>393</v>
      </c>
      <c r="D38" s="41">
        <f>tvc</f>
        <v>271.02730653344344</v>
      </c>
      <c r="E38" s="109">
        <v>0.05</v>
      </c>
      <c r="F38" s="41">
        <f>E38*D38</f>
        <v>13.551365326672173</v>
      </c>
      <c r="G38" s="41">
        <f t="shared" si="6"/>
        <v>0.22585608877786953</v>
      </c>
    </row>
    <row r="39" spans="1:10" x14ac:dyDescent="0.2">
      <c r="B39" s="110" t="s">
        <v>395</v>
      </c>
      <c r="C39" t="s">
        <v>376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4"/>
    </row>
    <row r="40" spans="1:10" x14ac:dyDescent="0.2">
      <c r="B40" s="56" t="s">
        <v>396</v>
      </c>
      <c r="C40" s="56" t="s">
        <v>376</v>
      </c>
      <c r="D40" s="56">
        <v>1</v>
      </c>
      <c r="E40" s="111">
        <v>0</v>
      </c>
      <c r="F40" s="111">
        <f t="shared" si="7"/>
        <v>0</v>
      </c>
      <c r="G40" s="41">
        <f t="shared" si="6"/>
        <v>0</v>
      </c>
    </row>
    <row r="41" spans="1:10" x14ac:dyDescent="0.2">
      <c r="B41" s="265" t="s">
        <v>397</v>
      </c>
      <c r="C41" s="265"/>
      <c r="D41" s="265"/>
      <c r="E41" s="265"/>
      <c r="F41" s="106">
        <f>SUM(F34:F40)</f>
        <v>229.10322482634697</v>
      </c>
      <c r="G41" s="106">
        <f>SUM(G34:G40)</f>
        <v>3.8183870804391158</v>
      </c>
      <c r="H41" s="244"/>
    </row>
    <row r="43" spans="1:10" ht="16" thickBot="1" x14ac:dyDescent="0.25">
      <c r="B43" s="112" t="s">
        <v>398</v>
      </c>
      <c r="C43" s="112"/>
      <c r="D43" s="112"/>
      <c r="E43" s="112"/>
      <c r="F43" s="113">
        <f>F30+F41</f>
        <v>500.13053135979044</v>
      </c>
      <c r="G43" s="113">
        <f>G30+G41</f>
        <v>8.3355088559965065</v>
      </c>
      <c r="H43" s="244"/>
    </row>
    <row r="44" spans="1:10" x14ac:dyDescent="0.2">
      <c r="B44" s="114" t="s">
        <v>399</v>
      </c>
      <c r="C44" s="114"/>
      <c r="D44" s="114"/>
      <c r="E44" s="115" t="s">
        <v>400</v>
      </c>
      <c r="F44" s="121"/>
      <c r="G44" s="116" t="str">
        <f>CONCATENATE("/",$D$6)</f>
        <v>/bushel</v>
      </c>
    </row>
    <row r="45" spans="1:10" ht="16" thickBot="1" x14ac:dyDescent="0.25">
      <c r="B45" s="117" t="s">
        <v>401</v>
      </c>
      <c r="C45" s="117"/>
      <c r="D45" s="117"/>
      <c r="E45" s="118" t="s">
        <v>400</v>
      </c>
      <c r="F45" s="119"/>
      <c r="G45" s="120" t="str">
        <f>CONCATENATE("/",$D$6)</f>
        <v>/bushel</v>
      </c>
    </row>
    <row r="46" spans="1:10" x14ac:dyDescent="0.2">
      <c r="B46" s="149"/>
      <c r="C46" s="149"/>
      <c r="D46" s="149"/>
      <c r="E46" s="150"/>
      <c r="F46" s="151"/>
      <c r="G46" s="152"/>
      <c r="H46" s="149"/>
    </row>
    <row r="47" spans="1:10" ht="18" customHeight="1" x14ac:dyDescent="0.2">
      <c r="B47" s="269" t="s">
        <v>534</v>
      </c>
      <c r="C47" s="269"/>
      <c r="D47" s="269"/>
      <c r="E47" s="269"/>
      <c r="F47" s="269"/>
      <c r="G47" s="269"/>
      <c r="H47" s="269"/>
    </row>
    <row r="48" spans="1:10" ht="43.25" customHeight="1" x14ac:dyDescent="0.2">
      <c r="B48" s="269" t="s">
        <v>533</v>
      </c>
      <c r="C48" s="269"/>
      <c r="D48" s="269"/>
      <c r="E48" s="269"/>
      <c r="F48" s="269"/>
      <c r="G48" s="269"/>
      <c r="H48" s="269"/>
    </row>
    <row r="49" spans="2:8" ht="14.5" customHeight="1" x14ac:dyDescent="0.2">
      <c r="B49" s="262" t="s">
        <v>515</v>
      </c>
      <c r="C49" s="262"/>
      <c r="D49" s="262"/>
      <c r="E49" s="262"/>
      <c r="F49" s="262"/>
      <c r="G49" s="262"/>
      <c r="H49" s="262"/>
    </row>
    <row r="50" spans="2:8" x14ac:dyDescent="0.2">
      <c r="B50" s="263"/>
      <c r="C50" s="263"/>
      <c r="D50" s="263"/>
      <c r="E50" s="263"/>
      <c r="F50" s="263"/>
      <c r="G50" s="263"/>
      <c r="H50" s="263"/>
    </row>
    <row r="51" spans="2:8" x14ac:dyDescent="0.2">
      <c r="B51" s="261" t="str">
        <f>CONCATENATE("Sensitivity Analysis of ",B1)</f>
        <v>Sensitivity Analysis of Irrigated Soybeans</v>
      </c>
      <c r="C51" s="261"/>
      <c r="D51" s="261"/>
      <c r="E51" s="261"/>
      <c r="F51" s="261"/>
      <c r="G51" s="261"/>
      <c r="H51" s="122"/>
    </row>
    <row r="52" spans="2:8" x14ac:dyDescent="0.2">
      <c r="B52" s="266" t="s">
        <v>402</v>
      </c>
      <c r="C52" s="266"/>
      <c r="D52" s="266"/>
      <c r="E52" s="266"/>
      <c r="F52" s="266"/>
      <c r="G52" s="266"/>
      <c r="H52" s="123"/>
    </row>
    <row r="53" spans="2:8" x14ac:dyDescent="0.2">
      <c r="B53" s="267" t="str">
        <f>CONCATENATE("Varying Prices and Yields ","(",(D6),")")</f>
        <v>Varying Prices and Yields (bushel)</v>
      </c>
      <c r="C53" s="267"/>
      <c r="D53" s="267"/>
      <c r="E53" s="267"/>
      <c r="F53" s="267"/>
      <c r="G53" s="267"/>
      <c r="H53" s="123"/>
    </row>
    <row r="54" spans="2:8" x14ac:dyDescent="0.2">
      <c r="B54" s="271" t="str">
        <f>CONCATENATE("Price \ ",$D$6,"/Acre")</f>
        <v>Price \ bushel/Acre</v>
      </c>
      <c r="C54" s="124" t="s">
        <v>403</v>
      </c>
      <c r="D54" s="124" t="s">
        <v>404</v>
      </c>
      <c r="E54" s="125" t="s">
        <v>405</v>
      </c>
      <c r="F54" s="124" t="s">
        <v>406</v>
      </c>
      <c r="G54" s="124" t="s">
        <v>407</v>
      </c>
      <c r="H54" s="126"/>
    </row>
    <row r="55" spans="2:8" x14ac:dyDescent="0.2">
      <c r="B55" s="272"/>
      <c r="C55" s="127">
        <f>E55*0.75</f>
        <v>45</v>
      </c>
      <c r="D55" s="127">
        <f>E55*0.9</f>
        <v>54</v>
      </c>
      <c r="E55" s="127">
        <f>yield</f>
        <v>60</v>
      </c>
      <c r="F55" s="127">
        <f>E55*1.1</f>
        <v>66</v>
      </c>
      <c r="G55" s="127">
        <f>E55*1.25</f>
        <v>75</v>
      </c>
    </row>
    <row r="56" spans="2:8" x14ac:dyDescent="0.2">
      <c r="B56" s="128">
        <v>9</v>
      </c>
      <c r="C56" s="129">
        <f t="shared" ref="C56:G60" si="8">$B56*C$55-tvc</f>
        <v>133.97269346655656</v>
      </c>
      <c r="D56" s="129">
        <f t="shared" si="8"/>
        <v>214.97269346655656</v>
      </c>
      <c r="E56" s="129">
        <f t="shared" si="8"/>
        <v>268.97269346655656</v>
      </c>
      <c r="F56" s="129">
        <f t="shared" si="8"/>
        <v>322.97269346655656</v>
      </c>
      <c r="G56" s="129">
        <f t="shared" si="8"/>
        <v>403.97269346655656</v>
      </c>
    </row>
    <row r="57" spans="2:8" x14ac:dyDescent="0.2">
      <c r="B57" s="130">
        <f>B56+1</f>
        <v>10</v>
      </c>
      <c r="C57" s="131">
        <f t="shared" si="8"/>
        <v>178.97269346655656</v>
      </c>
      <c r="D57" s="131">
        <f t="shared" si="8"/>
        <v>268.97269346655656</v>
      </c>
      <c r="E57" s="131">
        <f t="shared" si="8"/>
        <v>328.97269346655656</v>
      </c>
      <c r="F57" s="131">
        <f t="shared" si="8"/>
        <v>388.97269346655656</v>
      </c>
      <c r="G57" s="131">
        <f t="shared" si="8"/>
        <v>478.97269346655656</v>
      </c>
    </row>
    <row r="58" spans="2:8" x14ac:dyDescent="0.2">
      <c r="B58" s="130">
        <f t="shared" ref="B58:B59" si="9">B57+1</f>
        <v>11</v>
      </c>
      <c r="C58" s="131">
        <f t="shared" si="8"/>
        <v>223.97269346655656</v>
      </c>
      <c r="D58" s="131">
        <f t="shared" si="8"/>
        <v>322.97269346655656</v>
      </c>
      <c r="E58" s="131">
        <f t="shared" si="8"/>
        <v>388.97269346655656</v>
      </c>
      <c r="F58" s="131">
        <f t="shared" si="8"/>
        <v>454.97269346655656</v>
      </c>
      <c r="G58" s="131">
        <f t="shared" si="8"/>
        <v>553.97269346655662</v>
      </c>
    </row>
    <row r="59" spans="2:8" x14ac:dyDescent="0.2">
      <c r="B59" s="130">
        <f t="shared" si="9"/>
        <v>12</v>
      </c>
      <c r="C59" s="131">
        <f t="shared" si="8"/>
        <v>268.97269346655656</v>
      </c>
      <c r="D59" s="131">
        <f t="shared" si="8"/>
        <v>376.97269346655656</v>
      </c>
      <c r="E59" s="131">
        <f t="shared" si="8"/>
        <v>448.97269346655656</v>
      </c>
      <c r="F59" s="131">
        <f t="shared" si="8"/>
        <v>520.97269346655662</v>
      </c>
      <c r="G59" s="131">
        <f t="shared" si="8"/>
        <v>628.97269346655662</v>
      </c>
    </row>
    <row r="60" spans="2:8" x14ac:dyDescent="0.2">
      <c r="B60" s="132">
        <f>B59+1</f>
        <v>13</v>
      </c>
      <c r="C60" s="133">
        <f t="shared" si="8"/>
        <v>313.97269346655656</v>
      </c>
      <c r="D60" s="133">
        <f t="shared" si="8"/>
        <v>430.97269346655656</v>
      </c>
      <c r="E60" s="133">
        <f t="shared" si="8"/>
        <v>508.97269346655656</v>
      </c>
      <c r="F60" s="133">
        <f t="shared" si="8"/>
        <v>586.97269346655662</v>
      </c>
      <c r="G60" s="133">
        <f t="shared" si="8"/>
        <v>703.97269346655662</v>
      </c>
    </row>
    <row r="62" spans="2:8" x14ac:dyDescent="0.2">
      <c r="B62" s="260" t="s">
        <v>408</v>
      </c>
      <c r="C62" s="260"/>
      <c r="D62" s="260"/>
      <c r="E62" s="260"/>
      <c r="F62" s="260"/>
      <c r="G62" s="260"/>
      <c r="H62" s="260"/>
    </row>
    <row r="63" spans="2:8" x14ac:dyDescent="0.2">
      <c r="B63" s="261" t="s">
        <v>409</v>
      </c>
      <c r="C63" s="261"/>
      <c r="D63" s="261"/>
      <c r="E63" s="261"/>
      <c r="F63" s="261"/>
      <c r="G63" s="261"/>
      <c r="H63" s="261"/>
    </row>
    <row r="64" spans="2:8" ht="45" x14ac:dyDescent="0.2">
      <c r="B64" s="134" t="s">
        <v>410</v>
      </c>
      <c r="C64" s="135" t="s">
        <v>411</v>
      </c>
      <c r="D64" s="135" t="s">
        <v>412</v>
      </c>
      <c r="E64" s="135" t="s">
        <v>510</v>
      </c>
      <c r="F64" s="135" t="s">
        <v>413</v>
      </c>
      <c r="G64" s="135" t="s">
        <v>414</v>
      </c>
      <c r="H64" s="135" t="s">
        <v>415</v>
      </c>
    </row>
    <row r="65" spans="2:8" ht="30" x14ac:dyDescent="0.2">
      <c r="B65" s="160" t="str">
        <f>IF(H65&gt;0,(CONCATENATE(PreHarvest!$C3," with ",PreHarvest!$M3))," ")</f>
        <v>Heavy Disk 27' with Tractor (180-199 hp) MFWD 190</v>
      </c>
      <c r="C65" s="204">
        <f>IF(H65&gt;0,(1/PreHarvest!$E3)," ")</f>
        <v>13.213636363636363</v>
      </c>
      <c r="D65" s="136">
        <f>IF(H65&gt;0,(PreHarvest!$F3)," ")</f>
        <v>2</v>
      </c>
      <c r="E65" s="137">
        <f>IF(H65&gt;0,(D65*1/C65*1.25)," ")</f>
        <v>0.18919848641210874</v>
      </c>
      <c r="F65" s="137">
        <f>IF(H65&gt;0, (PreHarvest!$O3)," ")</f>
        <v>1.4802586859305127</v>
      </c>
      <c r="G65" s="225">
        <f>PreHarvest!$R3</f>
        <v>4.1299326748243157</v>
      </c>
      <c r="H65" s="225">
        <f>PreHarvest!$U3</f>
        <v>11.99764902452209</v>
      </c>
    </row>
    <row r="66" spans="2:8" ht="30" x14ac:dyDescent="0.2">
      <c r="B66" s="229" t="str">
        <f>IF(H66&gt;0,(CONCATENATE(PreHarvest!$C4," with ",PreHarvest!$M4))," ")</f>
        <v>Disk Harrow 32' with Tractor (180-199 hp) MFWD 190</v>
      </c>
      <c r="C66" s="233">
        <f>IF(H66&gt;0,(1/PreHarvest!$E4)," ")</f>
        <v>16.290909090909089</v>
      </c>
      <c r="D66" s="138">
        <f>IF(H66&gt;0,(PreHarvest!$F4)," ")</f>
        <v>1</v>
      </c>
      <c r="E66" s="226">
        <f t="shared" ref="E66" si="10">IF(H66&gt;0,(D66*1/C66*1.25)," ")</f>
        <v>7.6729910714285726E-2</v>
      </c>
      <c r="F66" s="226">
        <f>IF(H66&gt;0, (PreHarvest!$O4)," ")</f>
        <v>0.60032254464285717</v>
      </c>
      <c r="G66" s="227">
        <f>PreHarvest!$R4</f>
        <v>1.7345831561791383</v>
      </c>
      <c r="H66" s="227">
        <f>PreHarvest!$U4</f>
        <v>5.0376703780470518</v>
      </c>
    </row>
    <row r="67" spans="2:8" ht="30" x14ac:dyDescent="0.2">
      <c r="B67" s="229" t="str">
        <f>IF(H67&gt;0,(CONCATENATE(PreHarvest!$C5," with ",PreHarvest!$M5))," ")</f>
        <v>Bed-Disk  (Hipper)  6R-36 with Tractor (180-199 hp) MFWD 190</v>
      </c>
      <c r="C67" s="233">
        <f>IF(H67&gt;0,(1/PreHarvest!$E5)," ")</f>
        <v>9.6</v>
      </c>
      <c r="D67" s="138">
        <f>IF(H67&gt;0,(PreHarvest!$F5)," ")</f>
        <v>1</v>
      </c>
      <c r="E67" s="226">
        <f t="shared" ref="E67:E69" si="11">IF(H67&gt;0,(D67*1/C67*1.25)," ")</f>
        <v>0.13020833333333334</v>
      </c>
      <c r="F67" s="226">
        <f>IF(H67&gt;0, (PreHarvest!$O5)," ")</f>
        <v>1.0187291666666667</v>
      </c>
      <c r="G67" s="227">
        <f>PreHarvest!$R5</f>
        <v>1.7771577380952384</v>
      </c>
      <c r="H67" s="227">
        <f>PreHarvest!$U5</f>
        <v>5.4705961681547626</v>
      </c>
    </row>
    <row r="68" spans="2:8" s="222" customFormat="1" ht="30" x14ac:dyDescent="0.2">
      <c r="B68" s="229" t="str">
        <f>IF(H68&gt;0,(CONCATENATE(PreHarvest!$C6," with ",PreHarvest!$M6))," ")</f>
        <v>Plant - Rigid  6R-36 with Tractor (120-139 hp) 2WD 130</v>
      </c>
      <c r="C68" s="233">
        <f>IF(H68&gt;0,(1/PreHarvest!$E6)," ")</f>
        <v>9.545454545454545</v>
      </c>
      <c r="D68" s="138">
        <f>IF(H68&gt;0,(PreHarvest!$F6)," ")</f>
        <v>1</v>
      </c>
      <c r="E68" s="226">
        <f t="shared" si="11"/>
        <v>0.13095238095238096</v>
      </c>
      <c r="F68" s="226">
        <f>IF(H68&gt;0, (PreHarvest!$O6)," ")</f>
        <v>0.70100380952380947</v>
      </c>
      <c r="G68" s="227">
        <f>PreHarvest!$R6</f>
        <v>2.3616385459183671</v>
      </c>
      <c r="H68" s="227">
        <f>PreHarvest!$U6</f>
        <v>6.6714155888435371</v>
      </c>
    </row>
    <row r="69" spans="2:8" s="222" customFormat="1" ht="30" x14ac:dyDescent="0.2">
      <c r="B69" s="229" t="str">
        <f>IF(H69&gt;0,(CONCATENATE(PreHarvest!$C7," with ",PreHarvest!$M7))," ")</f>
        <v>Spray (Broadcast) 60' with Tractor (120-139 hp) 2WD 130</v>
      </c>
      <c r="C69" s="233">
        <f>IF(H69&gt;0,(1/PreHarvest!$E7)," ")</f>
        <v>35.454545454545453</v>
      </c>
      <c r="D69" s="138">
        <f>IF(H69&gt;0,(PreHarvest!$F7)," ")</f>
        <v>3</v>
      </c>
      <c r="E69" s="226">
        <f t="shared" si="11"/>
        <v>0.10576923076923078</v>
      </c>
      <c r="F69" s="226">
        <f>IF(H69&gt;0, (PreHarvest!$O7)," ")</f>
        <v>0.56619538461538466</v>
      </c>
      <c r="G69" s="227">
        <f>PreHarvest!$R7</f>
        <v>1.8075206043956045</v>
      </c>
      <c r="H69" s="227">
        <f>PreHarvest!$U7</f>
        <v>4.3518997802197807</v>
      </c>
    </row>
    <row r="70" spans="2:8" x14ac:dyDescent="0.2">
      <c r="B70" s="156" t="s">
        <v>416</v>
      </c>
      <c r="C70" s="157"/>
      <c r="D70" s="157"/>
      <c r="E70" s="158">
        <f>SUM(E65:E69)</f>
        <v>0.63285834218133963</v>
      </c>
      <c r="F70" s="158">
        <f>SUM(F65:F69)</f>
        <v>4.3665095913792307</v>
      </c>
      <c r="G70" s="159">
        <f>SUM(G65:G69)</f>
        <v>11.810832719412662</v>
      </c>
      <c r="H70" s="159">
        <f>SUM(H65:H69)</f>
        <v>33.529230939787226</v>
      </c>
    </row>
    <row r="72" spans="2:8" x14ac:dyDescent="0.2">
      <c r="B72" s="57" t="s">
        <v>417</v>
      </c>
    </row>
    <row r="73" spans="2:8" ht="45" x14ac:dyDescent="0.2">
      <c r="B73" s="134" t="s">
        <v>410</v>
      </c>
      <c r="C73" s="135" t="s">
        <v>411</v>
      </c>
      <c r="D73" s="135" t="s">
        <v>412</v>
      </c>
      <c r="E73" s="135" t="s">
        <v>510</v>
      </c>
      <c r="F73" s="135" t="s">
        <v>413</v>
      </c>
      <c r="G73" s="135" t="s">
        <v>414</v>
      </c>
      <c r="H73" s="135" t="s">
        <v>415</v>
      </c>
    </row>
    <row r="74" spans="2:8" s="222" customFormat="1" ht="30" x14ac:dyDescent="0.2">
      <c r="B74" s="229" t="str">
        <f>IF(H74&gt;0,(CONCATENATE(Harvest!$C4," with ",Harvest!$M4))," ")</f>
        <v>Header -Soybean 18' Flex with Combine (200-249 hp) 240 hp</v>
      </c>
      <c r="C74" s="203">
        <f>IF(H74&gt;0,(1/Harvest!$E4)," ")</f>
        <v>7.0472727272727251</v>
      </c>
      <c r="D74" s="155">
        <f>IF(H74&gt;0,(Harvest!$F4)," ")</f>
        <v>1</v>
      </c>
      <c r="E74" s="202">
        <f t="shared" ref="E74:E75" si="12">IF(H74&gt;0,(1/C74*D74*1.25)," ")</f>
        <v>0.17737358101135195</v>
      </c>
      <c r="F74" s="202">
        <f>IF(H74&gt;0,(Harvest!$O4)," ")</f>
        <v>1.7524509803921573</v>
      </c>
      <c r="G74" s="228">
        <f>Harvest!$R4</f>
        <v>6.1601844685242533</v>
      </c>
      <c r="H74" s="228">
        <f>Harvest!$U4</f>
        <v>33.502336171310638</v>
      </c>
    </row>
    <row r="75" spans="2:8" s="222" customFormat="1" ht="30" x14ac:dyDescent="0.2">
      <c r="B75" s="229" t="str">
        <f>IF(H75&gt;0,(CONCATENATE(Harvest!$C5," with ",Harvest!$M5))," ")</f>
        <v>Grain Cart Corn  500 bu with Tractor (120-139 hp) 2WD 130</v>
      </c>
      <c r="C75" s="203">
        <f>IF(H75&gt;0,(1/Harvest!$E5)," ")</f>
        <v>10.638297872340425</v>
      </c>
      <c r="D75" s="155">
        <f>IF(H75&gt;0,(Harvest!$F5)," ")</f>
        <v>1</v>
      </c>
      <c r="E75" s="202">
        <f t="shared" si="12"/>
        <v>0.11749999999999999</v>
      </c>
      <c r="F75" s="202">
        <f>IF(H75&gt;0,(Harvest!$O5)," ")</f>
        <v>0.62899159999999998</v>
      </c>
      <c r="G75" s="228">
        <f>Harvest!$R5</f>
        <v>1.7968827380952379</v>
      </c>
      <c r="H75" s="228">
        <f>Harvest!$U5</f>
        <v>4.9689270619047621</v>
      </c>
    </row>
    <row r="76" spans="2:8" ht="14.5" customHeight="1" x14ac:dyDescent="0.2">
      <c r="B76" s="156" t="s">
        <v>418</v>
      </c>
      <c r="C76" s="157"/>
      <c r="D76" s="157"/>
      <c r="E76" s="158">
        <f>SUM(E74:E75)</f>
        <v>0.29487358101135197</v>
      </c>
      <c r="F76" s="158">
        <f>SUM(F74:F75)</f>
        <v>2.3814425803921573</v>
      </c>
      <c r="G76" s="159">
        <f>SUM(G74:G75)</f>
        <v>7.9570672066194916</v>
      </c>
      <c r="H76" s="159">
        <f>SUM(H74:H75)</f>
        <v>38.471263233215403</v>
      </c>
    </row>
    <row r="77" spans="2:8" s="206" customFormat="1" x14ac:dyDescent="0.2">
      <c r="B77" s="207"/>
      <c r="C77" s="208"/>
      <c r="D77" s="208"/>
      <c r="E77" s="209"/>
      <c r="F77" s="209"/>
      <c r="G77" s="210"/>
      <c r="H77" s="210"/>
    </row>
    <row r="78" spans="2:8" ht="29" customHeight="1" x14ac:dyDescent="0.2">
      <c r="B78" s="268" t="s">
        <v>511</v>
      </c>
      <c r="C78" s="268"/>
      <c r="D78" s="268"/>
      <c r="E78" s="268"/>
      <c r="F78" s="268"/>
      <c r="G78" s="268"/>
      <c r="H78" s="268"/>
    </row>
    <row r="79" spans="2:8" ht="18" customHeight="1" x14ac:dyDescent="0.2">
      <c r="B79" s="211"/>
      <c r="C79" s="211"/>
      <c r="D79" s="211"/>
      <c r="E79" s="211"/>
      <c r="F79" s="211"/>
      <c r="G79" s="211"/>
      <c r="H79" s="211"/>
    </row>
    <row r="80" spans="2:8" ht="14.5" customHeight="1" x14ac:dyDescent="0.2">
      <c r="B80" s="262" t="s">
        <v>515</v>
      </c>
      <c r="C80" s="262"/>
      <c r="D80" s="262"/>
      <c r="E80" s="262"/>
      <c r="F80" s="262"/>
      <c r="G80" s="262"/>
      <c r="H80" s="262"/>
    </row>
    <row r="81" spans="2:8" x14ac:dyDescent="0.2">
      <c r="B81" s="263"/>
      <c r="C81" s="263"/>
      <c r="D81" s="263"/>
      <c r="E81" s="263"/>
      <c r="F81" s="263"/>
      <c r="G81" s="263"/>
      <c r="H81" s="263"/>
    </row>
    <row r="82" spans="2:8" x14ac:dyDescent="0.2">
      <c r="B82" s="148"/>
      <c r="C82" s="148"/>
      <c r="D82" s="148"/>
      <c r="E82" s="148"/>
      <c r="F82" s="148"/>
      <c r="G82" s="148"/>
      <c r="H82" s="148"/>
    </row>
  </sheetData>
  <mergeCells count="17">
    <mergeCell ref="B1:H1"/>
    <mergeCell ref="B4:H4"/>
    <mergeCell ref="B30:E30"/>
    <mergeCell ref="B2:H2"/>
    <mergeCell ref="B54:B55"/>
    <mergeCell ref="B48:H48"/>
    <mergeCell ref="B62:H62"/>
    <mergeCell ref="B63:H63"/>
    <mergeCell ref="B80:H81"/>
    <mergeCell ref="B33:H33"/>
    <mergeCell ref="B41:E41"/>
    <mergeCell ref="B51:G51"/>
    <mergeCell ref="B52:G52"/>
    <mergeCell ref="B53:G53"/>
    <mergeCell ref="B49:H50"/>
    <mergeCell ref="B78:H78"/>
    <mergeCell ref="B47:H47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11/2017&amp;R&amp;G</oddFooter>
  </headerFooter>
  <rowBreaks count="1" manualBreakCount="1">
    <brk id="50" min="1" max="7" man="1"/>
  </rowBreaks>
  <ignoredErrors>
    <ignoredError sqref="E70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F1"/>
    </sheetView>
  </sheetViews>
  <sheetFormatPr baseColWidth="10" defaultColWidth="8.83203125" defaultRowHeight="15" x14ac:dyDescent="0.2"/>
  <cols>
    <col min="1" max="1" width="13.33203125" bestFit="1" customWidth="1"/>
    <col min="2" max="2" width="4.3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</cols>
  <sheetData>
    <row r="1" spans="1:13" x14ac:dyDescent="0.2">
      <c r="A1" s="274" t="s">
        <v>351</v>
      </c>
      <c r="B1" s="274"/>
      <c r="C1" s="274"/>
      <c r="D1" s="274"/>
      <c r="E1" s="274"/>
      <c r="F1" s="274"/>
      <c r="H1" s="258" t="s">
        <v>535</v>
      </c>
      <c r="I1" s="258" t="s">
        <v>540</v>
      </c>
    </row>
    <row r="2" spans="1:13" x14ac:dyDescent="0.2">
      <c r="A2" s="96" t="s">
        <v>356</v>
      </c>
      <c r="B2" s="96" t="s">
        <v>357</v>
      </c>
      <c r="C2" s="96" t="s">
        <v>358</v>
      </c>
      <c r="D2" s="96" t="s">
        <v>359</v>
      </c>
      <c r="E2" s="96" t="s">
        <v>366</v>
      </c>
      <c r="F2" s="96" t="str">
        <f>CONCATENATE("$/",Main!$D$6)</f>
        <v>$/bushel</v>
      </c>
      <c r="H2" s="258" t="s">
        <v>536</v>
      </c>
      <c r="I2" s="258">
        <v>58</v>
      </c>
    </row>
    <row r="3" spans="1:13" x14ac:dyDescent="0.2">
      <c r="A3" s="97" t="s">
        <v>354</v>
      </c>
      <c r="B3" s="97" t="s">
        <v>375</v>
      </c>
      <c r="C3" s="97">
        <v>0.33</v>
      </c>
      <c r="D3" s="98">
        <v>43</v>
      </c>
      <c r="E3" s="99">
        <f>D3*C3</f>
        <v>14.190000000000001</v>
      </c>
      <c r="F3" s="100">
        <f t="shared" ref="F3:F9" si="0">E3/yield</f>
        <v>0.23650000000000002</v>
      </c>
      <c r="H3" s="259" t="s">
        <v>537</v>
      </c>
      <c r="I3" s="259">
        <v>58</v>
      </c>
    </row>
    <row r="4" spans="1:13" x14ac:dyDescent="0.2">
      <c r="A4" s="101" t="s">
        <v>352</v>
      </c>
      <c r="B4" s="101" t="s">
        <v>488</v>
      </c>
      <c r="C4" s="101">
        <v>40</v>
      </c>
      <c r="D4" s="291">
        <v>0.38</v>
      </c>
      <c r="E4" s="99">
        <f t="shared" ref="E4:E9" si="1">D4*C4</f>
        <v>15.2</v>
      </c>
      <c r="F4" s="100">
        <f t="shared" si="0"/>
        <v>0.2533333333333333</v>
      </c>
      <c r="H4" s="258" t="s">
        <v>538</v>
      </c>
      <c r="I4" s="258">
        <v>58</v>
      </c>
    </row>
    <row r="5" spans="1:13" x14ac:dyDescent="0.2">
      <c r="A5" s="101" t="s">
        <v>353</v>
      </c>
      <c r="B5" s="101" t="s">
        <v>488</v>
      </c>
      <c r="C5" s="101">
        <v>80</v>
      </c>
      <c r="D5" s="291">
        <v>0.28999999999999998</v>
      </c>
      <c r="E5" s="99">
        <f t="shared" si="1"/>
        <v>23.2</v>
      </c>
      <c r="F5" s="100">
        <f t="shared" si="0"/>
        <v>0.38666666666666666</v>
      </c>
      <c r="H5" s="258" t="s">
        <v>539</v>
      </c>
      <c r="I5" s="258">
        <v>53</v>
      </c>
    </row>
    <row r="6" spans="1:13" x14ac:dyDescent="0.2">
      <c r="A6" s="101" t="s">
        <v>487</v>
      </c>
      <c r="B6" s="101" t="s">
        <v>488</v>
      </c>
      <c r="C6" s="101">
        <v>0.5</v>
      </c>
      <c r="D6" s="291">
        <v>3.2</v>
      </c>
      <c r="E6" s="99">
        <f t="shared" si="1"/>
        <v>1.6</v>
      </c>
      <c r="F6" s="100">
        <f t="shared" si="0"/>
        <v>2.6666666666666668E-2</v>
      </c>
    </row>
    <row r="7" spans="1:13" x14ac:dyDescent="0.2">
      <c r="A7" s="101" t="s">
        <v>355</v>
      </c>
      <c r="B7" s="101"/>
      <c r="C7" s="101"/>
      <c r="D7" s="99"/>
      <c r="E7" s="99">
        <f t="shared" si="1"/>
        <v>0</v>
      </c>
      <c r="F7" s="100">
        <f t="shared" si="0"/>
        <v>0</v>
      </c>
    </row>
    <row r="8" spans="1:13" x14ac:dyDescent="0.2">
      <c r="A8" s="101" t="s">
        <v>355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3" x14ac:dyDescent="0.2">
      <c r="A9" s="102" t="s">
        <v>355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3" x14ac:dyDescent="0.2">
      <c r="A10" s="274" t="s">
        <v>361</v>
      </c>
      <c r="B10" s="274"/>
      <c r="C10" s="274"/>
      <c r="D10" s="274"/>
      <c r="E10" s="79">
        <f>SUM(E3:E9)</f>
        <v>54.190000000000005</v>
      </c>
      <c r="F10" s="79">
        <f>SUM(F3:F9)</f>
        <v>0.90316666666666667</v>
      </c>
      <c r="H10" s="154" t="s">
        <v>436</v>
      </c>
    </row>
    <row r="12" spans="1:13" x14ac:dyDescent="0.2">
      <c r="A12" s="273" t="s">
        <v>516</v>
      </c>
      <c r="B12" s="273"/>
      <c r="C12" s="273"/>
      <c r="D12" s="273"/>
      <c r="E12" s="273"/>
      <c r="F12" s="273"/>
      <c r="H12" s="273" t="s">
        <v>521</v>
      </c>
      <c r="I12" s="273"/>
      <c r="J12" s="273"/>
      <c r="K12" s="273"/>
      <c r="L12" s="273"/>
      <c r="M12" s="273"/>
    </row>
    <row r="13" spans="1:13" x14ac:dyDescent="0.2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CONCATENATE("$/",[4]Main!$D$6)</f>
        <v>$/bushel</v>
      </c>
    </row>
    <row r="14" spans="1:13" x14ac:dyDescent="0.2">
      <c r="A14" s="95" t="s">
        <v>490</v>
      </c>
      <c r="B14" s="91" t="s">
        <v>493</v>
      </c>
      <c r="C14" s="91">
        <v>24</v>
      </c>
      <c r="D14" s="250">
        <v>0.52100000000000002</v>
      </c>
      <c r="E14" s="93">
        <f>D14*C14</f>
        <v>12.504000000000001</v>
      </c>
      <c r="F14" s="94">
        <f t="shared" ref="F14:F19" si="2">E14/yield</f>
        <v>0.20840000000000003</v>
      </c>
      <c r="H14" s="251" t="s">
        <v>491</v>
      </c>
      <c r="I14" s="252" t="s">
        <v>495</v>
      </c>
      <c r="J14" s="252">
        <v>2</v>
      </c>
      <c r="K14" s="92">
        <v>4.5</v>
      </c>
      <c r="L14" s="93">
        <f t="shared" ref="L14:L15" si="3">K14*J14</f>
        <v>9</v>
      </c>
      <c r="M14" s="94">
        <f>L14/yield</f>
        <v>0.15</v>
      </c>
    </row>
    <row r="15" spans="1:13" x14ac:dyDescent="0.2">
      <c r="A15" s="95" t="s">
        <v>491</v>
      </c>
      <c r="B15" s="95" t="s">
        <v>494</v>
      </c>
      <c r="C15" s="95">
        <v>1</v>
      </c>
      <c r="D15" s="93">
        <v>4.5</v>
      </c>
      <c r="E15" s="93">
        <f t="shared" ref="E15:E19" si="4">D15*C15</f>
        <v>4.5</v>
      </c>
      <c r="F15" s="94">
        <f t="shared" si="2"/>
        <v>7.4999999999999997E-2</v>
      </c>
      <c r="H15" s="251" t="s">
        <v>522</v>
      </c>
      <c r="I15" s="251" t="s">
        <v>493</v>
      </c>
      <c r="J15" s="251">
        <v>16</v>
      </c>
      <c r="K15" s="93">
        <v>0.122</v>
      </c>
      <c r="L15" s="93">
        <f t="shared" si="3"/>
        <v>1.952</v>
      </c>
      <c r="M15" s="94">
        <f>L15/yield</f>
        <v>3.2533333333333331E-2</v>
      </c>
    </row>
    <row r="16" spans="1:13" x14ac:dyDescent="0.2">
      <c r="A16" s="95" t="s">
        <v>492</v>
      </c>
      <c r="B16" s="95" t="s">
        <v>495</v>
      </c>
      <c r="C16" s="95">
        <v>1.5</v>
      </c>
      <c r="D16" s="93">
        <v>4.4000000000000004</v>
      </c>
      <c r="E16" s="93">
        <f t="shared" si="4"/>
        <v>6.6000000000000005</v>
      </c>
      <c r="F16" s="94">
        <f t="shared" si="2"/>
        <v>0.11000000000000001</v>
      </c>
      <c r="H16" s="95" t="s">
        <v>523</v>
      </c>
      <c r="I16" s="95" t="s">
        <v>495</v>
      </c>
      <c r="J16" s="95">
        <v>1</v>
      </c>
      <c r="K16" s="93">
        <v>7.85</v>
      </c>
      <c r="L16" s="93">
        <f>K16*J16</f>
        <v>7.85</v>
      </c>
      <c r="M16" s="94">
        <f>L16/yield</f>
        <v>0.13083333333333333</v>
      </c>
    </row>
    <row r="17" spans="1:13" x14ac:dyDescent="0.2">
      <c r="A17" s="95" t="s">
        <v>355</v>
      </c>
      <c r="B17" s="95"/>
      <c r="C17" s="95"/>
      <c r="D17" s="93"/>
      <c r="E17" s="93">
        <f t="shared" si="4"/>
        <v>0</v>
      </c>
      <c r="F17" s="94">
        <f t="shared" si="2"/>
        <v>0</v>
      </c>
      <c r="H17" s="95" t="s">
        <v>524</v>
      </c>
      <c r="I17" s="95" t="s">
        <v>493</v>
      </c>
      <c r="J17" s="95">
        <v>29</v>
      </c>
      <c r="K17" s="93">
        <v>0.45</v>
      </c>
      <c r="L17" s="93">
        <f>K17*J17</f>
        <v>13.05</v>
      </c>
      <c r="M17" s="94">
        <f>L17/yield</f>
        <v>0.2175</v>
      </c>
    </row>
    <row r="18" spans="1:13" x14ac:dyDescent="0.2">
      <c r="A18" s="95" t="s">
        <v>355</v>
      </c>
      <c r="B18" s="95"/>
      <c r="C18" s="95"/>
      <c r="D18" s="93"/>
      <c r="E18" s="93">
        <f t="shared" si="4"/>
        <v>0</v>
      </c>
      <c r="F18" s="94">
        <f t="shared" si="2"/>
        <v>0</v>
      </c>
      <c r="H18" s="95" t="s">
        <v>492</v>
      </c>
      <c r="I18" s="95" t="s">
        <v>495</v>
      </c>
      <c r="J18" s="95">
        <v>1</v>
      </c>
      <c r="K18" s="93">
        <v>4.4000000000000004</v>
      </c>
      <c r="L18" s="93">
        <f>K18*J18</f>
        <v>4.4000000000000004</v>
      </c>
      <c r="M18" s="94">
        <f>L18/yield</f>
        <v>7.3333333333333334E-2</v>
      </c>
    </row>
    <row r="19" spans="1:13" x14ac:dyDescent="0.2">
      <c r="A19" s="95" t="s">
        <v>355</v>
      </c>
      <c r="B19" s="95"/>
      <c r="C19" s="95"/>
      <c r="D19" s="93"/>
      <c r="E19" s="93">
        <f t="shared" si="4"/>
        <v>0</v>
      </c>
      <c r="F19" s="94">
        <f t="shared" si="2"/>
        <v>0</v>
      </c>
      <c r="H19" s="249" t="s">
        <v>385</v>
      </c>
      <c r="I19" s="249"/>
      <c r="J19" s="249"/>
      <c r="K19" s="249"/>
      <c r="L19" s="80">
        <f>SUM(L14:L18)</f>
        <v>36.252000000000002</v>
      </c>
      <c r="M19" s="80">
        <f>SUM(M16:M18)</f>
        <v>0.42166666666666663</v>
      </c>
    </row>
    <row r="20" spans="1:13" x14ac:dyDescent="0.2">
      <c r="A20" s="273" t="s">
        <v>385</v>
      </c>
      <c r="B20" s="273"/>
      <c r="C20" s="273"/>
      <c r="D20" s="273"/>
      <c r="E20" s="80">
        <f>SUM(E14:E19)</f>
        <v>23.604000000000003</v>
      </c>
      <c r="F20" s="80">
        <f>SUM(F14:F19)</f>
        <v>0.39340000000000008</v>
      </c>
      <c r="H20" s="154"/>
    </row>
    <row r="21" spans="1:13" s="222" customFormat="1" x14ac:dyDescent="0.2">
      <c r="A21" s="253"/>
      <c r="B21" s="253"/>
      <c r="C21" s="253"/>
      <c r="D21" s="253"/>
      <c r="E21" s="254"/>
      <c r="F21" s="254"/>
      <c r="H21" s="273" t="s">
        <v>525</v>
      </c>
      <c r="I21" s="273"/>
      <c r="J21" s="273"/>
      <c r="K21" s="273"/>
      <c r="L21" s="273"/>
      <c r="M21" s="273"/>
    </row>
    <row r="22" spans="1:13" s="222" customFormat="1" x14ac:dyDescent="0.2">
      <c r="A22" s="273" t="s">
        <v>526</v>
      </c>
      <c r="B22" s="273"/>
      <c r="C22" s="273"/>
      <c r="D22" s="273"/>
      <c r="E22" s="273"/>
      <c r="F22" s="273"/>
      <c r="H22" s="90" t="s">
        <v>356</v>
      </c>
      <c r="I22" s="90" t="s">
        <v>357</v>
      </c>
      <c r="J22" s="90" t="s">
        <v>358</v>
      </c>
      <c r="K22" s="90" t="s">
        <v>359</v>
      </c>
      <c r="L22" s="90" t="s">
        <v>366</v>
      </c>
      <c r="M22" s="90" t="str">
        <f>CONCATENATE("$/",[4]Main!$D$6)</f>
        <v>$/bushel</v>
      </c>
    </row>
    <row r="23" spans="1:13" s="222" customFormat="1" x14ac:dyDescent="0.2">
      <c r="A23" s="90" t="s">
        <v>356</v>
      </c>
      <c r="B23" s="90" t="s">
        <v>357</v>
      </c>
      <c r="C23" s="90" t="s">
        <v>358</v>
      </c>
      <c r="D23" s="90" t="s">
        <v>359</v>
      </c>
      <c r="E23" s="90" t="s">
        <v>366</v>
      </c>
      <c r="F23" s="90" t="str">
        <f>CONCATENATE("$/",[4]Main!$D$6)</f>
        <v>$/bushel</v>
      </c>
      <c r="H23" s="251" t="s">
        <v>491</v>
      </c>
      <c r="I23" s="252" t="s">
        <v>495</v>
      </c>
      <c r="J23" s="252">
        <v>2</v>
      </c>
      <c r="K23" s="92">
        <v>4.5</v>
      </c>
      <c r="L23" s="93">
        <f t="shared" ref="L23:L24" si="5">K23*J23</f>
        <v>9</v>
      </c>
      <c r="M23" s="94">
        <f>L23/yield</f>
        <v>0.15</v>
      </c>
    </row>
    <row r="24" spans="1:13" s="222" customFormat="1" x14ac:dyDescent="0.2">
      <c r="A24" s="251" t="s">
        <v>527</v>
      </c>
      <c r="B24" s="251" t="s">
        <v>493</v>
      </c>
      <c r="C24" s="251">
        <v>2.5</v>
      </c>
      <c r="D24" s="255">
        <v>0.45</v>
      </c>
      <c r="E24" s="255">
        <f>D24*C24</f>
        <v>1.125</v>
      </c>
      <c r="F24" s="256">
        <f>E24/yield</f>
        <v>1.8749999999999999E-2</v>
      </c>
      <c r="H24" s="251" t="s">
        <v>522</v>
      </c>
      <c r="I24" s="251" t="s">
        <v>493</v>
      </c>
      <c r="J24" s="251">
        <v>16</v>
      </c>
      <c r="K24" s="93">
        <v>0.122</v>
      </c>
      <c r="L24" s="93">
        <f t="shared" si="5"/>
        <v>1.952</v>
      </c>
      <c r="M24" s="94">
        <f>L24/yield</f>
        <v>3.2533333333333331E-2</v>
      </c>
    </row>
    <row r="25" spans="1:13" s="222" customFormat="1" x14ac:dyDescent="0.2">
      <c r="A25" s="95" t="s">
        <v>528</v>
      </c>
      <c r="B25" s="95" t="s">
        <v>493</v>
      </c>
      <c r="C25" s="95">
        <v>22</v>
      </c>
      <c r="D25" s="93">
        <v>0.4</v>
      </c>
      <c r="E25" s="93">
        <f>D25*C25</f>
        <v>8.8000000000000007</v>
      </c>
      <c r="F25" s="94">
        <f>E25/yield</f>
        <v>0.14666666666666667</v>
      </c>
      <c r="H25" s="95" t="s">
        <v>527</v>
      </c>
      <c r="I25" s="95" t="s">
        <v>493</v>
      </c>
      <c r="J25" s="95">
        <v>2.5</v>
      </c>
      <c r="K25" s="93">
        <v>0.45</v>
      </c>
      <c r="L25" s="93">
        <f>K25*J25</f>
        <v>1.125</v>
      </c>
      <c r="M25" s="94">
        <f>L25/yield</f>
        <v>1.8749999999999999E-2</v>
      </c>
    </row>
    <row r="26" spans="1:13" s="222" customFormat="1" x14ac:dyDescent="0.2">
      <c r="A26" s="95" t="s">
        <v>491</v>
      </c>
      <c r="B26" s="95" t="s">
        <v>495</v>
      </c>
      <c r="C26" s="95">
        <v>2</v>
      </c>
      <c r="D26" s="93">
        <v>4.5</v>
      </c>
      <c r="E26" s="93">
        <f>D26*C26</f>
        <v>9</v>
      </c>
      <c r="F26" s="94">
        <f>E26/yield</f>
        <v>0.15</v>
      </c>
      <c r="H26" s="95" t="s">
        <v>529</v>
      </c>
      <c r="I26" s="95" t="s">
        <v>493</v>
      </c>
      <c r="J26" s="95">
        <v>76</v>
      </c>
      <c r="K26" s="93">
        <f>21.76/128</f>
        <v>0.17</v>
      </c>
      <c r="L26" s="93">
        <f>K26*J26</f>
        <v>12.920000000000002</v>
      </c>
      <c r="M26" s="94">
        <f>L26/yield</f>
        <v>0.21533333333333335</v>
      </c>
    </row>
    <row r="27" spans="1:13" s="222" customFormat="1" x14ac:dyDescent="0.2">
      <c r="A27" s="273" t="s">
        <v>385</v>
      </c>
      <c r="B27" s="273"/>
      <c r="C27" s="273"/>
      <c r="D27" s="273"/>
      <c r="E27" s="80">
        <f>SUM(E24:E26)</f>
        <v>18.925000000000001</v>
      </c>
      <c r="F27" s="80">
        <f>SUM(F24:F26)</f>
        <v>0.31541666666666668</v>
      </c>
      <c r="H27" s="249" t="s">
        <v>385</v>
      </c>
      <c r="I27" s="249"/>
      <c r="J27" s="249"/>
      <c r="K27" s="249"/>
      <c r="L27" s="80">
        <f>SUM(L23:L26)</f>
        <v>24.997</v>
      </c>
      <c r="M27" s="80">
        <f>SUM(M25:M26)</f>
        <v>0.23408333333333334</v>
      </c>
    </row>
    <row r="28" spans="1:13" s="206" customFormat="1" x14ac:dyDescent="0.2">
      <c r="A28" s="245"/>
      <c r="B28" s="245"/>
      <c r="C28" s="245"/>
      <c r="D28" s="245"/>
      <c r="E28" s="257"/>
      <c r="F28" s="257"/>
      <c r="H28" s="253"/>
      <c r="I28" s="253"/>
      <c r="J28" s="253"/>
      <c r="K28" s="253"/>
      <c r="L28" s="254"/>
      <c r="M28" s="254"/>
    </row>
    <row r="29" spans="1:13" x14ac:dyDescent="0.2">
      <c r="A29" s="276" t="s">
        <v>386</v>
      </c>
      <c r="B29" s="276"/>
      <c r="C29" s="276"/>
      <c r="D29" s="276"/>
      <c r="E29" s="276"/>
      <c r="F29" s="276"/>
    </row>
    <row r="30" spans="1:13" x14ac:dyDescent="0.2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</row>
    <row r="31" spans="1:13" x14ac:dyDescent="0.2">
      <c r="A31" s="83" t="s">
        <v>496</v>
      </c>
      <c r="B31" s="83" t="s">
        <v>493</v>
      </c>
      <c r="C31" s="83">
        <v>2</v>
      </c>
      <c r="D31" s="84">
        <v>1.25</v>
      </c>
      <c r="E31" s="85">
        <f>D31*C31</f>
        <v>2.5</v>
      </c>
      <c r="F31" s="86">
        <f t="shared" ref="F31:F37" si="6">E31/yield</f>
        <v>4.1666666666666664E-2</v>
      </c>
    </row>
    <row r="32" spans="1:13" x14ac:dyDescent="0.2">
      <c r="A32" s="87" t="s">
        <v>497</v>
      </c>
      <c r="B32" s="87" t="s">
        <v>493</v>
      </c>
      <c r="C32" s="87">
        <v>0.96</v>
      </c>
      <c r="D32" s="85">
        <v>1.8</v>
      </c>
      <c r="E32" s="85">
        <f t="shared" ref="E32:E37" si="7">D32*C32</f>
        <v>1.728</v>
      </c>
      <c r="F32" s="86">
        <f t="shared" si="6"/>
        <v>2.8799999999999999E-2</v>
      </c>
    </row>
    <row r="33" spans="1:8" x14ac:dyDescent="0.2">
      <c r="A33" s="87" t="s">
        <v>355</v>
      </c>
      <c r="B33" s="87"/>
      <c r="C33" s="87"/>
      <c r="D33" s="85"/>
      <c r="E33" s="85">
        <f t="shared" si="7"/>
        <v>0</v>
      </c>
      <c r="F33" s="86">
        <f t="shared" si="6"/>
        <v>0</v>
      </c>
    </row>
    <row r="34" spans="1:8" x14ac:dyDescent="0.2">
      <c r="A34" s="87" t="s">
        <v>355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 x14ac:dyDescent="0.2">
      <c r="A35" s="87" t="s">
        <v>355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 x14ac:dyDescent="0.2">
      <c r="A36" s="87" t="s">
        <v>355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 x14ac:dyDescent="0.2">
      <c r="A37" s="88" t="s">
        <v>355</v>
      </c>
      <c r="B37" s="88"/>
      <c r="C37" s="88"/>
      <c r="D37" s="89"/>
      <c r="E37" s="85">
        <f t="shared" si="7"/>
        <v>0</v>
      </c>
      <c r="F37" s="86">
        <f t="shared" si="6"/>
        <v>0</v>
      </c>
    </row>
    <row r="38" spans="1:8" x14ac:dyDescent="0.2">
      <c r="A38" s="276" t="s">
        <v>387</v>
      </c>
      <c r="B38" s="276"/>
      <c r="C38" s="276"/>
      <c r="D38" s="276"/>
      <c r="E38" s="81">
        <f>SUM(E31:E37)</f>
        <v>4.2279999999999998</v>
      </c>
      <c r="F38" s="81">
        <f>SUM(F31:F37)</f>
        <v>7.0466666666666664E-2</v>
      </c>
      <c r="H38" s="154" t="s">
        <v>436</v>
      </c>
    </row>
    <row r="40" spans="1:8" x14ac:dyDescent="0.2">
      <c r="A40" s="275" t="s">
        <v>419</v>
      </c>
      <c r="B40" s="275"/>
      <c r="C40" s="275"/>
      <c r="D40" s="275"/>
      <c r="E40" s="275"/>
      <c r="F40" s="275"/>
    </row>
    <row r="41" spans="1:8" x14ac:dyDescent="0.2">
      <c r="A41" s="140" t="s">
        <v>356</v>
      </c>
      <c r="B41" s="140" t="s">
        <v>357</v>
      </c>
      <c r="C41" s="140" t="s">
        <v>358</v>
      </c>
      <c r="D41" s="140" t="s">
        <v>359</v>
      </c>
      <c r="E41" s="140" t="s">
        <v>366</v>
      </c>
      <c r="F41" s="140" t="str">
        <f>CONCATENATE("$/",Main!$D$6)</f>
        <v>$/bushel</v>
      </c>
    </row>
    <row r="42" spans="1:8" x14ac:dyDescent="0.2">
      <c r="A42" s="141" t="s">
        <v>498</v>
      </c>
      <c r="B42" s="141" t="s">
        <v>493</v>
      </c>
      <c r="C42" s="141">
        <v>12</v>
      </c>
      <c r="D42" s="142">
        <v>1.8</v>
      </c>
      <c r="E42" s="143">
        <f>D42*C42</f>
        <v>21.6</v>
      </c>
      <c r="F42" s="144">
        <f t="shared" ref="F42:F51" si="8">E42/yield</f>
        <v>0.36000000000000004</v>
      </c>
    </row>
    <row r="43" spans="1:8" x14ac:dyDescent="0.2">
      <c r="A43" s="145" t="s">
        <v>355</v>
      </c>
      <c r="B43" s="145"/>
      <c r="C43" s="145"/>
      <c r="D43" s="143"/>
      <c r="E43" s="143">
        <f t="shared" ref="E43:E51" si="9">D43*C43</f>
        <v>0</v>
      </c>
      <c r="F43" s="144">
        <f t="shared" si="8"/>
        <v>0</v>
      </c>
    </row>
    <row r="44" spans="1:8" x14ac:dyDescent="0.2">
      <c r="A44" s="145" t="s">
        <v>355</v>
      </c>
      <c r="B44" s="145"/>
      <c r="C44" s="145"/>
      <c r="D44" s="143"/>
      <c r="E44" s="143">
        <f t="shared" ref="E44:E47" si="10">D44*C44</f>
        <v>0</v>
      </c>
      <c r="F44" s="144">
        <f t="shared" ref="F44:F47" si="11">E44/yield</f>
        <v>0</v>
      </c>
    </row>
    <row r="45" spans="1:8" x14ac:dyDescent="0.2">
      <c r="A45" s="145" t="s">
        <v>355</v>
      </c>
      <c r="B45" s="145"/>
      <c r="C45" s="145"/>
      <c r="D45" s="143"/>
      <c r="E45" s="143">
        <f t="shared" si="10"/>
        <v>0</v>
      </c>
      <c r="F45" s="144">
        <f t="shared" si="11"/>
        <v>0</v>
      </c>
    </row>
    <row r="46" spans="1:8" x14ac:dyDescent="0.2">
      <c r="A46" s="145" t="s">
        <v>355</v>
      </c>
      <c r="B46" s="145"/>
      <c r="C46" s="145"/>
      <c r="D46" s="143"/>
      <c r="E46" s="143">
        <f t="shared" si="10"/>
        <v>0</v>
      </c>
      <c r="F46" s="144">
        <f t="shared" si="11"/>
        <v>0</v>
      </c>
    </row>
    <row r="47" spans="1:8" x14ac:dyDescent="0.2">
      <c r="A47" s="145" t="s">
        <v>355</v>
      </c>
      <c r="B47" s="145"/>
      <c r="C47" s="145"/>
      <c r="D47" s="143"/>
      <c r="E47" s="143">
        <f t="shared" si="10"/>
        <v>0</v>
      </c>
      <c r="F47" s="144">
        <f t="shared" si="11"/>
        <v>0</v>
      </c>
    </row>
    <row r="48" spans="1:8" x14ac:dyDescent="0.2">
      <c r="A48" s="145" t="s">
        <v>355</v>
      </c>
      <c r="B48" s="145"/>
      <c r="C48" s="145"/>
      <c r="D48" s="143"/>
      <c r="E48" s="143">
        <f t="shared" si="9"/>
        <v>0</v>
      </c>
      <c r="F48" s="144">
        <f t="shared" si="8"/>
        <v>0</v>
      </c>
    </row>
    <row r="49" spans="1:8" x14ac:dyDescent="0.2">
      <c r="A49" s="145" t="s">
        <v>355</v>
      </c>
      <c r="B49" s="145"/>
      <c r="C49" s="145"/>
      <c r="D49" s="143"/>
      <c r="E49" s="143">
        <f t="shared" si="9"/>
        <v>0</v>
      </c>
      <c r="F49" s="144">
        <f t="shared" si="8"/>
        <v>0</v>
      </c>
    </row>
    <row r="50" spans="1:8" x14ac:dyDescent="0.2">
      <c r="A50" s="145" t="s">
        <v>355</v>
      </c>
      <c r="B50" s="145"/>
      <c r="C50" s="145"/>
      <c r="D50" s="143"/>
      <c r="E50" s="143">
        <f t="shared" si="9"/>
        <v>0</v>
      </c>
      <c r="F50" s="144">
        <f t="shared" si="8"/>
        <v>0</v>
      </c>
    </row>
    <row r="51" spans="1:8" x14ac:dyDescent="0.2">
      <c r="A51" s="146" t="s">
        <v>355</v>
      </c>
      <c r="B51" s="146"/>
      <c r="C51" s="146"/>
      <c r="D51" s="147"/>
      <c r="E51" s="143">
        <f t="shared" si="9"/>
        <v>0</v>
      </c>
      <c r="F51" s="144">
        <f t="shared" si="8"/>
        <v>0</v>
      </c>
    </row>
    <row r="52" spans="1:8" x14ac:dyDescent="0.2">
      <c r="A52" s="275" t="s">
        <v>420</v>
      </c>
      <c r="B52" s="275"/>
      <c r="C52" s="275"/>
      <c r="D52" s="275"/>
      <c r="E52" s="139">
        <f>SUM(E42:E51)</f>
        <v>21.6</v>
      </c>
      <c r="F52" s="139">
        <f>SUM(F42:F51)</f>
        <v>0.36000000000000004</v>
      </c>
      <c r="H52" s="154" t="s">
        <v>436</v>
      </c>
    </row>
  </sheetData>
  <mergeCells count="12">
    <mergeCell ref="A40:F40"/>
    <mergeCell ref="A52:D52"/>
    <mergeCell ref="A20:D20"/>
    <mergeCell ref="A29:F29"/>
    <mergeCell ref="A38:D38"/>
    <mergeCell ref="H12:M12"/>
    <mergeCell ref="H21:M21"/>
    <mergeCell ref="A22:F22"/>
    <mergeCell ref="A27:D27"/>
    <mergeCell ref="A1:F1"/>
    <mergeCell ref="A10:D10"/>
    <mergeCell ref="A12:F12"/>
  </mergeCells>
  <hyperlinks>
    <hyperlink ref="H10" location="main" display="Back to Budget Detail"/>
    <hyperlink ref="H38" location="main" display="Back to Budget Detail"/>
    <hyperlink ref="H52" location="main" display="Back to Budget Detail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2" bestFit="1" customWidth="1"/>
    <col min="13" max="13" width="22.5" style="172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1" t="s">
        <v>182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28" x14ac:dyDescent="0.2">
      <c r="A2" s="278" t="s">
        <v>169</v>
      </c>
      <c r="B2" s="42" t="s">
        <v>181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1" t="s">
        <v>180</v>
      </c>
      <c r="M2" s="171" t="s">
        <v>445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422</v>
      </c>
      <c r="S2" s="44" t="s">
        <v>172</v>
      </c>
      <c r="T2" s="44" t="s">
        <v>171</v>
      </c>
      <c r="U2" s="42" t="s">
        <v>168</v>
      </c>
    </row>
    <row r="3" spans="1:21" x14ac:dyDescent="0.2">
      <c r="A3" s="279"/>
      <c r="B3" s="175" t="s">
        <v>499</v>
      </c>
      <c r="C3" s="231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72" t="s">
        <v>504</v>
      </c>
      <c r="M3" s="174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79"/>
      <c r="B4" s="175" t="s">
        <v>500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2" t="s">
        <v>504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79"/>
      <c r="B5" s="175" t="s">
        <v>501</v>
      </c>
      <c r="C5" s="231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3.7749999999999999</v>
      </c>
      <c r="I5" s="59">
        <f t="shared" si="10"/>
        <v>0.39322916666666669</v>
      </c>
      <c r="J5" s="59">
        <f t="shared" si="4"/>
        <v>13.599437499999999</v>
      </c>
      <c r="K5" s="60">
        <f t="shared" si="11"/>
        <v>1.4166080729166666</v>
      </c>
      <c r="L5" s="172" t="s">
        <v>504</v>
      </c>
      <c r="M5" s="230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13.285714285714286</v>
      </c>
      <c r="Q5" s="59">
        <f t="shared" si="13"/>
        <v>1.3839285714285716</v>
      </c>
      <c r="R5" s="59">
        <f t="shared" si="14"/>
        <v>1.7771577380952384</v>
      </c>
      <c r="S5" s="59">
        <f t="shared" si="8"/>
        <v>38.918285714285716</v>
      </c>
      <c r="T5" s="59">
        <f t="shared" si="15"/>
        <v>4.053988095238096</v>
      </c>
      <c r="U5" s="59">
        <f t="shared" si="16"/>
        <v>5.4705961681547626</v>
      </c>
    </row>
    <row r="6" spans="1:21" x14ac:dyDescent="0.2">
      <c r="A6" s="279"/>
      <c r="B6" s="175" t="s">
        <v>502</v>
      </c>
      <c r="C6" s="231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2" t="s">
        <v>505</v>
      </c>
      <c r="M6" s="230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12.642857142857142</v>
      </c>
      <c r="Q6" s="59">
        <f t="shared" si="13"/>
        <v>1.3244897959183672</v>
      </c>
      <c r="R6" s="59">
        <f t="shared" si="14"/>
        <v>2.3616385459183671</v>
      </c>
      <c r="S6" s="59">
        <f t="shared" si="8"/>
        <v>37.035142857142858</v>
      </c>
      <c r="T6" s="59">
        <f t="shared" si="15"/>
        <v>3.8798721088435375</v>
      </c>
      <c r="U6" s="59">
        <f t="shared" si="16"/>
        <v>6.6714155888435371</v>
      </c>
    </row>
    <row r="7" spans="1:21" x14ac:dyDescent="0.2">
      <c r="A7" s="279"/>
      <c r="B7" s="175" t="s">
        <v>503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8.71875</v>
      </c>
      <c r="I7" s="59">
        <f t="shared" si="10"/>
        <v>0.7377403846153846</v>
      </c>
      <c r="J7" s="59">
        <f t="shared" si="4"/>
        <v>14.396400000000002</v>
      </c>
      <c r="K7" s="60">
        <f t="shared" si="11"/>
        <v>1.2181569230769234</v>
      </c>
      <c r="L7" s="172" t="s">
        <v>505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12.642857142857142</v>
      </c>
      <c r="Q7" s="59">
        <f t="shared" si="13"/>
        <v>1.0697802197802198</v>
      </c>
      <c r="R7" s="59">
        <f t="shared" si="14"/>
        <v>1.8075206043956045</v>
      </c>
      <c r="S7" s="59">
        <f t="shared" si="8"/>
        <v>37.035142857142858</v>
      </c>
      <c r="T7" s="59">
        <f t="shared" si="15"/>
        <v>3.1337428571428574</v>
      </c>
      <c r="U7" s="59">
        <f t="shared" si="16"/>
        <v>4.3518997802197807</v>
      </c>
    </row>
    <row r="8" spans="1:21" x14ac:dyDescent="0.2">
      <c r="A8" s="279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9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9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9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9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9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9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0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3"/>
      <c r="M15" s="173"/>
      <c r="N15" s="61"/>
      <c r="O15" s="62">
        <f>SUM(O3:O14)</f>
        <v>4.3665095913792307</v>
      </c>
      <c r="P15" s="61"/>
      <c r="Q15" s="63"/>
      <c r="R15" s="63">
        <f>SUM(R3:R14)</f>
        <v>11.810832719412662</v>
      </c>
      <c r="S15" s="61"/>
      <c r="T15" s="63"/>
      <c r="U15" s="63">
        <f>SUM(U3:U14)</f>
        <v>33.529230939787226</v>
      </c>
    </row>
    <row r="16" spans="1:21" x14ac:dyDescent="0.2">
      <c r="B16" s="154" t="s">
        <v>436</v>
      </c>
      <c r="C16" s="154"/>
    </row>
    <row r="17" spans="1:14" x14ac:dyDescent="0.2">
      <c r="A17" s="51"/>
      <c r="B17" s="261" t="s">
        <v>175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2"/>
    </row>
    <row r="18" spans="1:14" s="48" customFormat="1" ht="42" x14ac:dyDescent="0.2">
      <c r="A18" s="277" t="s">
        <v>174</v>
      </c>
      <c r="B18" s="49" t="s">
        <v>183</v>
      </c>
      <c r="C18" s="186" t="s">
        <v>446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8" t="s">
        <v>177</v>
      </c>
      <c r="M18" s="178" t="s">
        <v>178</v>
      </c>
      <c r="N18" s="170"/>
    </row>
    <row r="19" spans="1:14" x14ac:dyDescent="0.2">
      <c r="A19" s="277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 x14ac:dyDescent="0.2">
      <c r="A20" s="277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 x14ac:dyDescent="0.2">
      <c r="A21" s="277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 x14ac:dyDescent="0.2">
      <c r="A22" s="277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 x14ac:dyDescent="0.2">
      <c r="A23" s="277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 x14ac:dyDescent="0.2">
      <c r="A24" s="27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 x14ac:dyDescent="0.2">
      <c r="B25" s="154" t="s">
        <v>436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1" t="s">
        <v>193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2" x14ac:dyDescent="0.2">
      <c r="A2" s="55"/>
      <c r="B2" s="42" t="s">
        <v>192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446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422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1" t="s">
        <v>204</v>
      </c>
      <c r="B4" s="172" t="s">
        <v>506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10.6</v>
      </c>
      <c r="I4" s="59">
        <f t="shared" ref="I4:I10" si="6">H4*G4</f>
        <v>1.5041279669762646</v>
      </c>
      <c r="J4" s="59">
        <f t="shared" si="4"/>
        <v>27.517599999999995</v>
      </c>
      <c r="K4" s="59">
        <f t="shared" ref="K4:K10" si="7">J4*G4</f>
        <v>3.9047162022703823</v>
      </c>
      <c r="L4" s="175" t="s">
        <v>508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6.1601844685242533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33.502336171310638</v>
      </c>
    </row>
    <row r="5" spans="1:21" x14ac:dyDescent="0.2">
      <c r="A5" s="281"/>
      <c r="B5" s="172" t="s">
        <v>507</v>
      </c>
      <c r="C5" s="212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5" t="s">
        <v>505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81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1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1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1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0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7.9570672066194916</v>
      </c>
      <c r="S11" s="72"/>
      <c r="T11" s="75"/>
      <c r="U11" s="75">
        <f>SUM(U3:U10)</f>
        <v>38.471263233215403</v>
      </c>
    </row>
    <row r="12" spans="1:21" x14ac:dyDescent="0.2">
      <c r="B12" s="154" t="s">
        <v>436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411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6" bestFit="1" customWidth="1"/>
    <col min="4" max="4" width="2" style="166" bestFit="1" customWidth="1"/>
    <col min="5" max="5" width="14.5" style="162" bestFit="1" customWidth="1"/>
    <col min="6" max="6" width="9" style="162" bestFit="1" customWidth="1"/>
    <col min="7" max="7" width="18.33203125" style="162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4" t="s">
        <v>449</v>
      </c>
      <c r="B1" s="285"/>
      <c r="C1" s="286" t="s">
        <v>127</v>
      </c>
      <c r="D1" s="287"/>
      <c r="E1" s="287"/>
      <c r="F1" s="216">
        <v>0.09</v>
      </c>
    </row>
    <row r="2" spans="1:35" ht="16" thickBot="1" x14ac:dyDescent="0.25">
      <c r="C2" s="288" t="s">
        <v>126</v>
      </c>
      <c r="D2" s="289"/>
      <c r="E2" s="289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5"/>
      <c r="E3" s="1"/>
      <c r="R3" s="282" t="s">
        <v>125</v>
      </c>
      <c r="S3" s="282"/>
      <c r="T3" s="282"/>
      <c r="U3" s="282"/>
      <c r="V3" s="282"/>
      <c r="W3" s="282"/>
      <c r="X3" s="283" t="s">
        <v>124</v>
      </c>
      <c r="Y3" s="283"/>
    </row>
    <row r="4" spans="1:35" s="15" customFormat="1" ht="11" x14ac:dyDescent="0.15">
      <c r="A4" s="26"/>
      <c r="B4" s="26" t="s">
        <v>122</v>
      </c>
      <c r="C4" s="163" t="s">
        <v>123</v>
      </c>
      <c r="D4" s="164" t="s">
        <v>443</v>
      </c>
      <c r="E4" s="165" t="s">
        <v>121</v>
      </c>
      <c r="F4" s="165" t="s">
        <v>120</v>
      </c>
      <c r="G4" s="165" t="s">
        <v>444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442</v>
      </c>
      <c r="E5" s="162" t="s">
        <v>460</v>
      </c>
      <c r="F5" s="162" t="s">
        <v>196</v>
      </c>
      <c r="G5" s="162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1">
        <v>66</v>
      </c>
      <c r="B6" s="1" t="str">
        <f t="shared" si="0"/>
        <v>0.02, Bed-Disk  (Hipper)  6R-30</v>
      </c>
      <c r="C6" s="166">
        <v>0.02</v>
      </c>
      <c r="D6" s="162" t="s">
        <v>442</v>
      </c>
      <c r="E6" s="162" t="s">
        <v>460</v>
      </c>
      <c r="F6" s="162" t="s">
        <v>53</v>
      </c>
      <c r="G6" s="162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41">
        <v>67</v>
      </c>
      <c r="B7" s="1" t="str">
        <f t="shared" si="0"/>
        <v>0.03, Bed-Disk  (Hipper)  6R-36</v>
      </c>
      <c r="C7" s="166">
        <v>0.03</v>
      </c>
      <c r="D7" s="162" t="s">
        <v>442</v>
      </c>
      <c r="E7" s="162" t="s">
        <v>460</v>
      </c>
      <c r="F7" s="162" t="s">
        <v>197</v>
      </c>
      <c r="G7" s="162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41">
        <v>68</v>
      </c>
      <c r="B8" s="1" t="str">
        <f t="shared" si="0"/>
        <v>0.04, Bed-Disk  (Hipper)  8R-30</v>
      </c>
      <c r="C8" s="166">
        <v>0.04</v>
      </c>
      <c r="D8" s="162" t="s">
        <v>442</v>
      </c>
      <c r="E8" s="162" t="s">
        <v>460</v>
      </c>
      <c r="F8" s="162" t="s">
        <v>25</v>
      </c>
      <c r="G8" s="162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41">
        <v>70</v>
      </c>
      <c r="B9" s="1" t="str">
        <f t="shared" si="0"/>
        <v>0.05, Bed-Disk  (Hipper) 10R-30</v>
      </c>
      <c r="C9" s="166">
        <v>0.05</v>
      </c>
      <c r="D9" s="162" t="s">
        <v>442</v>
      </c>
      <c r="E9" s="162" t="s">
        <v>460</v>
      </c>
      <c r="F9" s="162" t="s">
        <v>24</v>
      </c>
      <c r="G9" s="16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442</v>
      </c>
      <c r="E10" s="162" t="s">
        <v>460</v>
      </c>
      <c r="F10" s="162" t="s">
        <v>6</v>
      </c>
      <c r="G10" s="162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442</v>
      </c>
      <c r="E11" s="162" t="s">
        <v>460</v>
      </c>
      <c r="F11" s="162" t="s">
        <v>199</v>
      </c>
      <c r="G11" s="16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442</v>
      </c>
      <c r="E12" s="162" t="s">
        <v>460</v>
      </c>
      <c r="F12" s="162" t="s">
        <v>198</v>
      </c>
      <c r="G12" s="162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442</v>
      </c>
      <c r="E13" s="162" t="s">
        <v>460</v>
      </c>
      <c r="F13" s="162" t="s">
        <v>195</v>
      </c>
      <c r="G13" s="162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442</v>
      </c>
      <c r="E14" s="162" t="s">
        <v>461</v>
      </c>
      <c r="F14" s="162" t="s">
        <v>194</v>
      </c>
      <c r="G14" s="162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442</v>
      </c>
      <c r="E15" s="162" t="s">
        <v>462</v>
      </c>
      <c r="F15" s="162" t="s">
        <v>194</v>
      </c>
      <c r="G15" s="162" t="str">
        <f t="shared" si="1"/>
        <v>Bed-Disk  (Hipper) Rd  8R-36</v>
      </c>
      <c r="H15" s="30">
        <v>27400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442</v>
      </c>
      <c r="E16" s="162" t="s">
        <v>458</v>
      </c>
      <c r="F16" s="162" t="s">
        <v>25</v>
      </c>
      <c r="G16" s="162" t="str">
        <f t="shared" si="1"/>
        <v>Bed-Disk  w/roller 8R-30</v>
      </c>
      <c r="H16" s="30">
        <v>22880.129999999997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442</v>
      </c>
      <c r="E17" s="162" t="s">
        <v>458</v>
      </c>
      <c r="F17" s="162" t="s">
        <v>194</v>
      </c>
      <c r="G17" s="162" t="str">
        <f t="shared" si="1"/>
        <v>Bed-Disk  w/roller 8R-36</v>
      </c>
      <c r="H17" s="30">
        <v>26296.62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442</v>
      </c>
      <c r="E18" s="162" t="s">
        <v>458</v>
      </c>
      <c r="F18" s="162" t="s">
        <v>459</v>
      </c>
      <c r="G18" s="162" t="str">
        <f t="shared" si="1"/>
        <v>Bed-Disk  w/roller 12R-30</v>
      </c>
      <c r="H18" s="30">
        <v>48866.159999999996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1">
        <v>594</v>
      </c>
      <c r="B19" s="1" t="str">
        <f t="shared" si="0"/>
        <v>0.15, Bed-Middle Buster 4R-36</v>
      </c>
      <c r="C19" s="166">
        <v>0.15</v>
      </c>
      <c r="D19" s="162" t="s">
        <v>442</v>
      </c>
      <c r="E19" s="162" t="s">
        <v>463</v>
      </c>
      <c r="F19" s="162" t="s">
        <v>196</v>
      </c>
      <c r="G19" s="162" t="str">
        <f t="shared" si="1"/>
        <v>Bed-Middle Buster 4R-36</v>
      </c>
      <c r="H19" s="30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1">
        <v>119</v>
      </c>
      <c r="B20" s="1" t="str">
        <f t="shared" si="0"/>
        <v>0.16, Bed-Middle Buster 6R-36</v>
      </c>
      <c r="C20" s="166">
        <v>0.16</v>
      </c>
      <c r="D20" s="162" t="s">
        <v>442</v>
      </c>
      <c r="E20" s="162" t="s">
        <v>463</v>
      </c>
      <c r="F20" s="162" t="s">
        <v>197</v>
      </c>
      <c r="G20" s="162" t="str">
        <f t="shared" si="1"/>
        <v>Bed-Middle Buster 6R-36</v>
      </c>
      <c r="H20" s="30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6">
        <v>0.17</v>
      </c>
      <c r="D21" s="162" t="s">
        <v>442</v>
      </c>
      <c r="E21" s="162" t="s">
        <v>463</v>
      </c>
      <c r="F21" s="162" t="s">
        <v>25</v>
      </c>
      <c r="G21" s="162" t="str">
        <f t="shared" si="1"/>
        <v>Bed-Middle Buster 8R-30</v>
      </c>
      <c r="H21" s="246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0"/>
      <c r="AH21" s="220"/>
      <c r="AI21" s="220"/>
    </row>
    <row r="22" spans="1:35" x14ac:dyDescent="0.2">
      <c r="A22" s="241">
        <v>121</v>
      </c>
      <c r="B22" s="1" t="str">
        <f t="shared" si="0"/>
        <v>0.18, Bed-Middle Buster 8R-36</v>
      </c>
      <c r="C22" s="166">
        <v>0.18</v>
      </c>
      <c r="D22" s="162" t="s">
        <v>442</v>
      </c>
      <c r="E22" s="162" t="s">
        <v>463</v>
      </c>
      <c r="F22" s="162" t="s">
        <v>194</v>
      </c>
      <c r="G22" s="162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442</v>
      </c>
      <c r="E23" s="162" t="s">
        <v>463</v>
      </c>
      <c r="F23" s="162" t="s">
        <v>198</v>
      </c>
      <c r="G23" s="162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1">
        <v>122</v>
      </c>
      <c r="B24" s="1" t="str">
        <f t="shared" si="0"/>
        <v>0.2, Bed-Middle Buster 10R-30</v>
      </c>
      <c r="C24" s="166">
        <v>0.2</v>
      </c>
      <c r="D24" s="162" t="s">
        <v>442</v>
      </c>
      <c r="E24" s="162" t="s">
        <v>464</v>
      </c>
      <c r="F24" s="162" t="s">
        <v>24</v>
      </c>
      <c r="G24" s="162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442</v>
      </c>
      <c r="E25" s="162" t="s">
        <v>464</v>
      </c>
      <c r="F25" s="162" t="s">
        <v>199</v>
      </c>
      <c r="G25" s="162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442</v>
      </c>
      <c r="E26" s="162" t="s">
        <v>464</v>
      </c>
      <c r="F26" s="162" t="s">
        <v>195</v>
      </c>
      <c r="G26" s="162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442</v>
      </c>
      <c r="E27" s="162" t="s">
        <v>465</v>
      </c>
      <c r="F27" s="162" t="s">
        <v>194</v>
      </c>
      <c r="G27" s="162" t="str">
        <f t="shared" si="1"/>
        <v>Bed-Paratill   Fold 8R-36</v>
      </c>
      <c r="H27" s="24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442</v>
      </c>
      <c r="E28" s="162" t="s">
        <v>465</v>
      </c>
      <c r="F28" s="162" t="s">
        <v>24</v>
      </c>
      <c r="G28" s="162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442</v>
      </c>
      <c r="E29" s="162" t="s">
        <v>465</v>
      </c>
      <c r="F29" s="162" t="s">
        <v>198</v>
      </c>
      <c r="G29" s="162" t="str">
        <f t="shared" si="1"/>
        <v>Bed-Paratill   Fold 8R-36 2x1</v>
      </c>
      <c r="H29" s="24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442</v>
      </c>
      <c r="E30" s="162" t="s">
        <v>465</v>
      </c>
      <c r="F30" s="162" t="s">
        <v>195</v>
      </c>
      <c r="G30" s="162" t="str">
        <f t="shared" si="1"/>
        <v>Bed-Paratill   Fold12R-36</v>
      </c>
      <c r="H30" s="24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442</v>
      </c>
      <c r="E31" s="162" t="s">
        <v>466</v>
      </c>
      <c r="F31" s="162" t="s">
        <v>48</v>
      </c>
      <c r="G31" s="162" t="str">
        <f t="shared" si="1"/>
        <v>Bed-Paratill   Rigid 4R-30</v>
      </c>
      <c r="H31" s="24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442</v>
      </c>
      <c r="E32" s="162" t="s">
        <v>466</v>
      </c>
      <c r="F32" s="162" t="s">
        <v>196</v>
      </c>
      <c r="G32" s="162" t="str">
        <f t="shared" si="1"/>
        <v>Bed-Paratill   Rigid 4R-36</v>
      </c>
      <c r="H32" s="24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442</v>
      </c>
      <c r="E33" s="162" t="s">
        <v>466</v>
      </c>
      <c r="F33" s="162" t="s">
        <v>53</v>
      </c>
      <c r="G33" s="162" t="str">
        <f t="shared" si="1"/>
        <v>Bed-Paratill   Rigid 6R-30</v>
      </c>
      <c r="H33" s="24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442</v>
      </c>
      <c r="E34" s="162" t="s">
        <v>466</v>
      </c>
      <c r="F34" s="162" t="s">
        <v>197</v>
      </c>
      <c r="G34" s="162" t="str">
        <f t="shared" si="1"/>
        <v>Bed-Paratill   Rigid 6R-36</v>
      </c>
      <c r="H34" s="24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442</v>
      </c>
      <c r="E35" s="162" t="s">
        <v>466</v>
      </c>
      <c r="F35" s="162" t="s">
        <v>25</v>
      </c>
      <c r="G35" s="162" t="str">
        <f t="shared" si="1"/>
        <v>Bed-Paratill   Rigid 8R-30</v>
      </c>
      <c r="H35" s="24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442</v>
      </c>
      <c r="E36" s="162" t="s">
        <v>466</v>
      </c>
      <c r="F36" s="162" t="s">
        <v>194</v>
      </c>
      <c r="G36" s="162" t="str">
        <f t="shared" si="1"/>
        <v>Bed-Paratill   Rigid 8R-36</v>
      </c>
      <c r="H36" s="24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442</v>
      </c>
      <c r="E37" s="162" t="s">
        <v>466</v>
      </c>
      <c r="F37" s="162" t="s">
        <v>24</v>
      </c>
      <c r="G37" s="162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442</v>
      </c>
      <c r="E38" s="162" t="s">
        <v>467</v>
      </c>
      <c r="F38" s="162" t="s">
        <v>0</v>
      </c>
      <c r="G38" s="162" t="str">
        <f t="shared" si="1"/>
        <v>Bed-Paratill  w/rol4R-30</v>
      </c>
      <c r="H38" s="24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442</v>
      </c>
      <c r="E39" s="162" t="s">
        <v>475</v>
      </c>
      <c r="F39" s="162" t="s">
        <v>73</v>
      </c>
      <c r="G39" s="162" t="str">
        <f t="shared" si="1"/>
        <v>Bed-Paratill  w/roll 4R-36</v>
      </c>
      <c r="H39" s="24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442</v>
      </c>
      <c r="E40" s="162" t="s">
        <v>475</v>
      </c>
      <c r="F40" s="162" t="s">
        <v>201</v>
      </c>
      <c r="G40" s="162" t="str">
        <f t="shared" si="1"/>
        <v>Bed-Paratill  w/roll 6R-36</v>
      </c>
      <c r="H40" s="24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442</v>
      </c>
      <c r="E41" s="162" t="s">
        <v>468</v>
      </c>
      <c r="F41" s="162" t="s">
        <v>194</v>
      </c>
      <c r="G41" s="162" t="str">
        <f t="shared" si="1"/>
        <v>Bed-Rip/Disk Fold. 8R-36</v>
      </c>
      <c r="H41" s="24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442</v>
      </c>
      <c r="E42" s="162" t="s">
        <v>468</v>
      </c>
      <c r="F42" s="162" t="s">
        <v>6</v>
      </c>
      <c r="G42" s="162" t="str">
        <f t="shared" si="1"/>
        <v>Bed-Rip/Disk Fold.12R-30</v>
      </c>
      <c r="H42" s="24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442</v>
      </c>
      <c r="E43" s="162" t="s">
        <v>468</v>
      </c>
      <c r="F43" s="162" t="s">
        <v>195</v>
      </c>
      <c r="G43" s="162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1">
        <v>607</v>
      </c>
      <c r="B44" s="1" t="str">
        <f t="shared" si="0"/>
        <v>0.4, Bed-Rip/Disk Rigid 4R-30</v>
      </c>
      <c r="C44" s="166">
        <v>0.4</v>
      </c>
      <c r="D44" s="162" t="s">
        <v>442</v>
      </c>
      <c r="E44" s="162" t="s">
        <v>469</v>
      </c>
      <c r="F44" s="162" t="s">
        <v>48</v>
      </c>
      <c r="G44" s="162" t="str">
        <f t="shared" si="1"/>
        <v>Bed-Rip/Disk Rigid 4R-30</v>
      </c>
      <c r="H44" s="24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442</v>
      </c>
      <c r="E45" s="162" t="s">
        <v>469</v>
      </c>
      <c r="F45" s="162" t="s">
        <v>196</v>
      </c>
      <c r="G45" s="162" t="str">
        <f t="shared" si="1"/>
        <v>Bed-Rip/Disk Rigid 4R-36</v>
      </c>
      <c r="H45" s="24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442</v>
      </c>
      <c r="E46" s="162" t="s">
        <v>469</v>
      </c>
      <c r="F46" s="162" t="s">
        <v>25</v>
      </c>
      <c r="G46" s="162" t="str">
        <f t="shared" si="1"/>
        <v>Bed-Rip/Disk Rigid 8R-30</v>
      </c>
      <c r="H46" s="24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442</v>
      </c>
      <c r="E47" s="162" t="s">
        <v>469</v>
      </c>
      <c r="F47" s="162" t="s">
        <v>197</v>
      </c>
      <c r="G47" s="162" t="str">
        <f t="shared" si="1"/>
        <v>Bed-Rip/Disk Rigid 6R-36</v>
      </c>
      <c r="H47" s="24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442</v>
      </c>
      <c r="E48" s="162" t="s">
        <v>469</v>
      </c>
      <c r="F48" s="162" t="s">
        <v>194</v>
      </c>
      <c r="G48" s="162" t="str">
        <f t="shared" si="1"/>
        <v>Bed-Rip/Disk Rigid 8R-36</v>
      </c>
      <c r="H48" s="24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442</v>
      </c>
      <c r="E49" s="162" t="s">
        <v>470</v>
      </c>
      <c r="F49" s="162" t="s">
        <v>47</v>
      </c>
      <c r="G49" s="162" t="str">
        <f t="shared" si="1"/>
        <v>Bed-Rip/Disk Rigid 6R-30</v>
      </c>
      <c r="H49" s="24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442</v>
      </c>
      <c r="E50" s="162" t="s">
        <v>471</v>
      </c>
      <c r="F50" s="162" t="s">
        <v>46</v>
      </c>
      <c r="G50" s="162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442</v>
      </c>
      <c r="E51" s="162" t="s">
        <v>471</v>
      </c>
      <c r="F51" s="162" t="s">
        <v>45</v>
      </c>
      <c r="G51" s="162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1">
        <v>510</v>
      </c>
      <c r="B52" s="1" t="str">
        <f t="shared" si="0"/>
        <v>0.48, Bed-Roll-Fold. 8R-36</v>
      </c>
      <c r="C52" s="166">
        <v>0.48</v>
      </c>
      <c r="D52" s="162" t="s">
        <v>442</v>
      </c>
      <c r="E52" s="162" t="s">
        <v>472</v>
      </c>
      <c r="F52" s="162" t="s">
        <v>194</v>
      </c>
      <c r="G52" s="162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1">
        <v>512</v>
      </c>
      <c r="B53" s="1" t="str">
        <f t="shared" si="0"/>
        <v>0.49, Bed-Roll-Fold. 12R-30</v>
      </c>
      <c r="C53" s="166">
        <v>0.49</v>
      </c>
      <c r="D53" s="162" t="s">
        <v>442</v>
      </c>
      <c r="E53" s="162" t="s">
        <v>473</v>
      </c>
      <c r="F53" s="162" t="s">
        <v>6</v>
      </c>
      <c r="G53" s="162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41">
        <v>513</v>
      </c>
      <c r="B54" s="1" t="str">
        <f t="shared" si="0"/>
        <v>0.5, Bed-Roll-Fold. 12R-36</v>
      </c>
      <c r="C54" s="166">
        <v>0.5</v>
      </c>
      <c r="D54" s="162" t="s">
        <v>442</v>
      </c>
      <c r="E54" s="162" t="s">
        <v>473</v>
      </c>
      <c r="F54" s="162" t="s">
        <v>195</v>
      </c>
      <c r="G54" s="162" t="str">
        <f t="shared" si="1"/>
        <v>Bed-Roll-Fold. 12R-36</v>
      </c>
      <c r="H54" s="24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41">
        <v>514</v>
      </c>
      <c r="B55" s="1" t="str">
        <f t="shared" si="0"/>
        <v>0.51, Bed-Roll-Fold. 16R-30</v>
      </c>
      <c r="C55" s="166">
        <v>0.51</v>
      </c>
      <c r="D55" s="162" t="s">
        <v>442</v>
      </c>
      <c r="E55" s="162" t="s">
        <v>473</v>
      </c>
      <c r="F55" s="162" t="s">
        <v>59</v>
      </c>
      <c r="G55" s="162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41">
        <v>511</v>
      </c>
      <c r="B56" s="1" t="str">
        <f t="shared" si="0"/>
        <v>0.52, Bed-Roll-Rigid  8R-36</v>
      </c>
      <c r="C56" s="166">
        <v>0.52</v>
      </c>
      <c r="D56" s="162" t="s">
        <v>442</v>
      </c>
      <c r="E56" s="162" t="s">
        <v>474</v>
      </c>
      <c r="F56" s="162" t="s">
        <v>194</v>
      </c>
      <c r="G56" s="162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41">
        <v>418</v>
      </c>
      <c r="B57" s="1" t="str">
        <f t="shared" si="0"/>
        <v>0.53, Blade-Box  6'-7'</v>
      </c>
      <c r="C57" s="166">
        <v>0.53</v>
      </c>
      <c r="D57" s="162" t="s">
        <v>442</v>
      </c>
      <c r="E57" s="162" t="s">
        <v>257</v>
      </c>
      <c r="F57" s="162" t="s">
        <v>94</v>
      </c>
      <c r="G57" s="162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41">
        <v>473</v>
      </c>
      <c r="B58" s="1" t="str">
        <f t="shared" si="0"/>
        <v>0.54, Blade-Box  8'-10'</v>
      </c>
      <c r="C58" s="166">
        <v>0.54</v>
      </c>
      <c r="D58" s="162" t="s">
        <v>442</v>
      </c>
      <c r="E58" s="162" t="s">
        <v>257</v>
      </c>
      <c r="F58" s="162" t="s">
        <v>93</v>
      </c>
      <c r="G58" s="162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442</v>
      </c>
      <c r="E59" s="162" t="s">
        <v>257</v>
      </c>
      <c r="F59" s="162" t="s">
        <v>92</v>
      </c>
      <c r="G59" s="162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442</v>
      </c>
      <c r="E60" s="162" t="s">
        <v>258</v>
      </c>
      <c r="F60" s="162" t="s">
        <v>94</v>
      </c>
      <c r="G60" s="162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442</v>
      </c>
      <c r="E61" s="162" t="s">
        <v>258</v>
      </c>
      <c r="F61" s="162" t="s">
        <v>93</v>
      </c>
      <c r="G61" s="162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442</v>
      </c>
      <c r="E62" s="162" t="s">
        <v>258</v>
      </c>
      <c r="F62" s="162" t="s">
        <v>92</v>
      </c>
      <c r="G62" s="162" t="str">
        <f t="shared" si="1"/>
        <v>Blade-Scraper 12'-16'</v>
      </c>
      <c r="H62" s="24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41">
        <v>5</v>
      </c>
      <c r="B63" s="1" t="str">
        <f t="shared" si="0"/>
        <v>0.59, Chisel Plow-Folding 16'</v>
      </c>
      <c r="C63" s="166">
        <v>0.59</v>
      </c>
      <c r="D63" s="162" t="s">
        <v>442</v>
      </c>
      <c r="E63" s="167" t="s">
        <v>259</v>
      </c>
      <c r="F63" s="167" t="s">
        <v>80</v>
      </c>
      <c r="G63" s="16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1">
        <v>408</v>
      </c>
      <c r="B64" s="1" t="str">
        <f t="shared" si="0"/>
        <v>0.6, Chisel Plow-Folding 24'</v>
      </c>
      <c r="C64" s="166">
        <v>0.6</v>
      </c>
      <c r="D64" s="162" t="s">
        <v>442</v>
      </c>
      <c r="E64" s="162" t="s">
        <v>259</v>
      </c>
      <c r="F64" s="162" t="s">
        <v>65</v>
      </c>
      <c r="G64" s="162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1">
        <v>7</v>
      </c>
      <c r="B65" s="1" t="str">
        <f t="shared" si="0"/>
        <v>0.61, Chisel Plow-Folding 32'</v>
      </c>
      <c r="C65" s="166">
        <v>0.61</v>
      </c>
      <c r="D65" s="162" t="s">
        <v>442</v>
      </c>
      <c r="E65" s="162" t="s">
        <v>259</v>
      </c>
      <c r="F65" s="162" t="s">
        <v>43</v>
      </c>
      <c r="G65" s="162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1">
        <v>230</v>
      </c>
      <c r="B66" s="1" t="str">
        <f t="shared" si="0"/>
        <v>0.62, Chisel Plow-Folding 42'</v>
      </c>
      <c r="C66" s="166">
        <v>0.62</v>
      </c>
      <c r="D66" s="162" t="s">
        <v>442</v>
      </c>
      <c r="E66" s="162" t="s">
        <v>259</v>
      </c>
      <c r="F66" s="162" t="s">
        <v>86</v>
      </c>
      <c r="G66" s="162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1">
        <v>651</v>
      </c>
      <c r="B67" s="1" t="str">
        <f t="shared" si="0"/>
        <v>0.63, Chisel Plow-Folding 50'</v>
      </c>
      <c r="C67" s="166">
        <v>0.63</v>
      </c>
      <c r="D67" s="162" t="s">
        <v>442</v>
      </c>
      <c r="E67" s="162" t="s">
        <v>259</v>
      </c>
      <c r="F67" s="162" t="s">
        <v>15</v>
      </c>
      <c r="G67" s="162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1">
        <v>702</v>
      </c>
      <c r="B68" s="1" t="str">
        <f t="shared" si="0"/>
        <v>0.64, Chisel Plow-Folding 61'</v>
      </c>
      <c r="C68" s="166">
        <v>0.64</v>
      </c>
      <c r="D68" s="162" t="s">
        <v>442</v>
      </c>
      <c r="E68" s="162" t="s">
        <v>259</v>
      </c>
      <c r="F68" s="162" t="s">
        <v>90</v>
      </c>
      <c r="G68" s="162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442</v>
      </c>
      <c r="E69" s="162" t="s">
        <v>260</v>
      </c>
      <c r="F69" s="162" t="s">
        <v>66</v>
      </c>
      <c r="G69" s="162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1">
        <v>4</v>
      </c>
      <c r="B70" s="1" t="str">
        <f t="shared" si="15"/>
        <v>0.66, Chisel Plow-Rigid 15'</v>
      </c>
      <c r="C70" s="166">
        <v>0.66</v>
      </c>
      <c r="D70" s="162" t="s">
        <v>442</v>
      </c>
      <c r="E70" s="162" t="s">
        <v>260</v>
      </c>
      <c r="F70" s="162" t="s">
        <v>10</v>
      </c>
      <c r="G70" s="162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1">
        <v>701</v>
      </c>
      <c r="B71" s="1" t="str">
        <f t="shared" si="15"/>
        <v>0.67, Chisel Plow-Rigid 20'</v>
      </c>
      <c r="C71" s="166">
        <v>0.67</v>
      </c>
      <c r="D71" s="162" t="s">
        <v>442</v>
      </c>
      <c r="E71" s="162" t="s">
        <v>260</v>
      </c>
      <c r="F71" s="162" t="s">
        <v>8</v>
      </c>
      <c r="G71" s="162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1">
        <v>6</v>
      </c>
      <c r="B72" s="1" t="str">
        <f t="shared" si="15"/>
        <v>0.68, Chisel Plow-Rigid 24'</v>
      </c>
      <c r="C72" s="166">
        <v>0.68</v>
      </c>
      <c r="D72" s="162" t="s">
        <v>442</v>
      </c>
      <c r="E72" s="162" t="s">
        <v>260</v>
      </c>
      <c r="F72" s="162" t="s">
        <v>65</v>
      </c>
      <c r="G72" s="162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1">
        <v>294</v>
      </c>
      <c r="B73" s="1" t="str">
        <f t="shared" si="15"/>
        <v>0.69, Chisel-Harrow 21 shank</v>
      </c>
      <c r="C73" s="166">
        <v>0.69</v>
      </c>
      <c r="D73" s="162" t="s">
        <v>442</v>
      </c>
      <c r="E73" s="162" t="s">
        <v>261</v>
      </c>
      <c r="F73" s="162" t="s">
        <v>89</v>
      </c>
      <c r="G73" s="16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1">
        <v>293</v>
      </c>
      <c r="B74" s="1" t="str">
        <f t="shared" si="15"/>
        <v>0.7, Chisel-Harrow 27 shank</v>
      </c>
      <c r="C74" s="166">
        <v>0.7</v>
      </c>
      <c r="D74" s="162" t="s">
        <v>442</v>
      </c>
      <c r="E74" s="162" t="s">
        <v>261</v>
      </c>
      <c r="F74" s="162" t="s">
        <v>88</v>
      </c>
      <c r="G74" s="16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442</v>
      </c>
      <c r="E75" s="162" t="s">
        <v>262</v>
      </c>
      <c r="F75" s="162" t="s">
        <v>89</v>
      </c>
      <c r="G75" s="16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442</v>
      </c>
      <c r="E76" s="162" t="s">
        <v>262</v>
      </c>
      <c r="F76" s="162" t="s">
        <v>88</v>
      </c>
      <c r="G76" s="16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442</v>
      </c>
      <c r="E77" s="162" t="s">
        <v>478</v>
      </c>
      <c r="F77" s="162" t="s">
        <v>25</v>
      </c>
      <c r="G77" s="16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442</v>
      </c>
      <c r="E78" s="162" t="s">
        <v>480</v>
      </c>
      <c r="F78" s="162" t="s">
        <v>6</v>
      </c>
      <c r="G78" s="16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1">
        <v>579</v>
      </c>
      <c r="B79" s="1" t="str">
        <f t="shared" si="15"/>
        <v>0.75, Cultivate  4R-30</v>
      </c>
      <c r="C79" s="166">
        <v>0.75</v>
      </c>
      <c r="D79" s="162" t="s">
        <v>442</v>
      </c>
      <c r="E79" s="162" t="s">
        <v>263</v>
      </c>
      <c r="F79" s="162" t="s">
        <v>48</v>
      </c>
      <c r="G79" s="162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1">
        <v>31</v>
      </c>
      <c r="B80" s="1" t="str">
        <f t="shared" si="15"/>
        <v>0.76, Cultivate  4R-36</v>
      </c>
      <c r="C80" s="166">
        <v>0.76</v>
      </c>
      <c r="D80" s="162" t="s">
        <v>442</v>
      </c>
      <c r="E80" s="162" t="s">
        <v>263</v>
      </c>
      <c r="F80" s="162" t="s">
        <v>196</v>
      </c>
      <c r="G80" s="162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1">
        <v>32</v>
      </c>
      <c r="B81" s="1" t="str">
        <f t="shared" si="15"/>
        <v>0.77, Cultivate  6R-30</v>
      </c>
      <c r="C81" s="166">
        <v>0.77</v>
      </c>
      <c r="D81" s="162" t="s">
        <v>442</v>
      </c>
      <c r="E81" s="162" t="s">
        <v>263</v>
      </c>
      <c r="F81" s="162" t="s">
        <v>53</v>
      </c>
      <c r="G81" s="162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1">
        <v>33</v>
      </c>
      <c r="B82" s="1" t="str">
        <f t="shared" si="15"/>
        <v>0.78, Cultivate  6R-36</v>
      </c>
      <c r="C82" s="166">
        <v>0.78</v>
      </c>
      <c r="D82" s="162" t="s">
        <v>442</v>
      </c>
      <c r="E82" s="162" t="s">
        <v>263</v>
      </c>
      <c r="F82" s="162" t="s">
        <v>197</v>
      </c>
      <c r="G82" s="162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1">
        <v>34</v>
      </c>
      <c r="B83" s="1" t="str">
        <f t="shared" si="15"/>
        <v>0.79, Cultivate  8R-30</v>
      </c>
      <c r="C83" s="166">
        <v>0.79</v>
      </c>
      <c r="D83" s="162" t="s">
        <v>442</v>
      </c>
      <c r="E83" s="162" t="s">
        <v>263</v>
      </c>
      <c r="F83" s="162" t="s">
        <v>25</v>
      </c>
      <c r="G83" s="162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1">
        <v>35</v>
      </c>
      <c r="B84" s="1" t="str">
        <f t="shared" si="15"/>
        <v>0.8, Cultivate  8R-36</v>
      </c>
      <c r="C84" s="166">
        <v>0.8</v>
      </c>
      <c r="D84" s="162" t="s">
        <v>442</v>
      </c>
      <c r="E84" s="162" t="s">
        <v>263</v>
      </c>
      <c r="F84" s="162" t="s">
        <v>194</v>
      </c>
      <c r="G84" s="162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1">
        <v>36</v>
      </c>
      <c r="B85" s="1" t="str">
        <f t="shared" si="15"/>
        <v>0.81, Cultivate 10R-30</v>
      </c>
      <c r="C85" s="166">
        <v>0.81</v>
      </c>
      <c r="D85" s="162" t="s">
        <v>442</v>
      </c>
      <c r="E85" s="162" t="s">
        <v>263</v>
      </c>
      <c r="F85" s="162" t="s">
        <v>24</v>
      </c>
      <c r="G85" s="16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1">
        <v>508</v>
      </c>
      <c r="B86" s="1" t="str">
        <f t="shared" si="15"/>
        <v>0.82, Cultivate 12R-30</v>
      </c>
      <c r="C86" s="166">
        <v>0.82</v>
      </c>
      <c r="D86" s="162" t="s">
        <v>442</v>
      </c>
      <c r="E86" s="162" t="s">
        <v>263</v>
      </c>
      <c r="F86" s="162" t="s">
        <v>6</v>
      </c>
      <c r="G86" s="162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1">
        <v>235</v>
      </c>
      <c r="B87" s="1" t="str">
        <f t="shared" si="15"/>
        <v>0.83, Cultivate  8R-36 2x1</v>
      </c>
      <c r="C87" s="166">
        <v>0.83</v>
      </c>
      <c r="D87" s="162" t="s">
        <v>442</v>
      </c>
      <c r="E87" s="162" t="s">
        <v>263</v>
      </c>
      <c r="F87" s="162" t="s">
        <v>198</v>
      </c>
      <c r="G87" s="162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1">
        <v>236</v>
      </c>
      <c r="B88" s="1" t="str">
        <f t="shared" si="15"/>
        <v>0.84, Cultivate 12R-36</v>
      </c>
      <c r="C88" s="166">
        <v>0.84</v>
      </c>
      <c r="D88" s="162" t="s">
        <v>442</v>
      </c>
      <c r="E88" s="162" t="s">
        <v>263</v>
      </c>
      <c r="F88" s="162" t="s">
        <v>195</v>
      </c>
      <c r="G88" s="162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1">
        <v>580</v>
      </c>
      <c r="B89" s="1" t="str">
        <f t="shared" si="15"/>
        <v>0.85, Cultivate 16R-30</v>
      </c>
      <c r="C89" s="166">
        <v>0.85</v>
      </c>
      <c r="D89" s="162" t="s">
        <v>442</v>
      </c>
      <c r="E89" s="162" t="s">
        <v>263</v>
      </c>
      <c r="F89" s="162" t="s">
        <v>59</v>
      </c>
      <c r="G89" s="162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442</v>
      </c>
      <c r="E90" s="162" t="s">
        <v>264</v>
      </c>
      <c r="F90" s="162" t="s">
        <v>48</v>
      </c>
      <c r="G90" s="162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442</v>
      </c>
      <c r="E91" s="162" t="s">
        <v>264</v>
      </c>
      <c r="F91" s="162" t="s">
        <v>196</v>
      </c>
      <c r="G91" s="162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442</v>
      </c>
      <c r="E92" s="162" t="s">
        <v>264</v>
      </c>
      <c r="F92" s="162" t="s">
        <v>53</v>
      </c>
      <c r="G92" s="162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442</v>
      </c>
      <c r="E93" s="162" t="s">
        <v>264</v>
      </c>
      <c r="F93" s="162" t="s">
        <v>197</v>
      </c>
      <c r="G93" s="162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442</v>
      </c>
      <c r="E94" s="162" t="s">
        <v>264</v>
      </c>
      <c r="F94" s="162" t="s">
        <v>25</v>
      </c>
      <c r="G94" s="162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442</v>
      </c>
      <c r="E95" s="162" t="s">
        <v>264</v>
      </c>
      <c r="F95" s="162" t="s">
        <v>194</v>
      </c>
      <c r="G95" s="162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442</v>
      </c>
      <c r="E96" s="162" t="s">
        <v>264</v>
      </c>
      <c r="F96" s="162" t="s">
        <v>24</v>
      </c>
      <c r="G96" s="162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442</v>
      </c>
      <c r="E97" s="162" t="s">
        <v>264</v>
      </c>
      <c r="F97" s="162" t="s">
        <v>6</v>
      </c>
      <c r="G97" s="162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442</v>
      </c>
      <c r="E98" s="162" t="s">
        <v>264</v>
      </c>
      <c r="F98" s="162" t="s">
        <v>198</v>
      </c>
      <c r="G98" s="162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442</v>
      </c>
      <c r="E99" s="162" t="s">
        <v>264</v>
      </c>
      <c r="F99" s="162" t="s">
        <v>195</v>
      </c>
      <c r="G99" s="162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442</v>
      </c>
      <c r="E100" s="162" t="s">
        <v>264</v>
      </c>
      <c r="F100" s="162" t="s">
        <v>59</v>
      </c>
      <c r="G100" s="162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442</v>
      </c>
      <c r="E101" s="162" t="s">
        <v>479</v>
      </c>
      <c r="F101" s="162" t="s">
        <v>25</v>
      </c>
      <c r="G101" s="16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442</v>
      </c>
      <c r="E102" s="162" t="s">
        <v>481</v>
      </c>
      <c r="F102" s="162" t="s">
        <v>6</v>
      </c>
      <c r="G102" s="16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442</v>
      </c>
      <c r="E103" s="162" t="s">
        <v>265</v>
      </c>
      <c r="F103" s="162" t="s">
        <v>12</v>
      </c>
      <c r="G103" s="162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442</v>
      </c>
      <c r="E104" s="162" t="s">
        <v>265</v>
      </c>
      <c r="F104" s="162" t="s">
        <v>8</v>
      </c>
      <c r="G104" s="162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442</v>
      </c>
      <c r="E105" s="162" t="s">
        <v>265</v>
      </c>
      <c r="F105" s="162" t="s">
        <v>65</v>
      </c>
      <c r="G105" s="162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442</v>
      </c>
      <c r="E106" s="162" t="s">
        <v>265</v>
      </c>
      <c r="F106" s="162" t="s">
        <v>87</v>
      </c>
      <c r="G106" s="162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442</v>
      </c>
      <c r="E107" s="162" t="s">
        <v>265</v>
      </c>
      <c r="F107" s="162" t="s">
        <v>43</v>
      </c>
      <c r="G107" s="162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1">
        <v>72</v>
      </c>
      <c r="B108" s="1" t="str">
        <f t="shared" si="15"/>
        <v>1.04, Disk Harrow 14'</v>
      </c>
      <c r="C108" s="166">
        <v>1.04</v>
      </c>
      <c r="D108" s="162" t="s">
        <v>442</v>
      </c>
      <c r="E108" s="162" t="s">
        <v>266</v>
      </c>
      <c r="F108" s="162" t="s">
        <v>12</v>
      </c>
      <c r="G108" s="162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1">
        <v>743</v>
      </c>
      <c r="B109" s="1" t="str">
        <f t="shared" si="15"/>
        <v>1.05, Disk Harrow 20'</v>
      </c>
      <c r="C109" s="166">
        <v>1.05</v>
      </c>
      <c r="D109" s="162" t="s">
        <v>442</v>
      </c>
      <c r="E109" s="162" t="s">
        <v>266</v>
      </c>
      <c r="F109" s="162" t="s">
        <v>8</v>
      </c>
      <c r="G109" s="162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1">
        <v>73</v>
      </c>
      <c r="B110" s="1" t="str">
        <f t="shared" si="15"/>
        <v>1.06, Disk Harrow 24'</v>
      </c>
      <c r="C110" s="166">
        <v>1.06</v>
      </c>
      <c r="D110" s="162" t="s">
        <v>442</v>
      </c>
      <c r="E110" s="162" t="s">
        <v>266</v>
      </c>
      <c r="F110" s="162" t="s">
        <v>65</v>
      </c>
      <c r="G110" s="162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1">
        <v>291</v>
      </c>
      <c r="B111" s="1" t="str">
        <f t="shared" si="15"/>
        <v>1.07, Disk Harrow 28'</v>
      </c>
      <c r="C111" s="166">
        <v>1.07</v>
      </c>
      <c r="D111" s="162" t="s">
        <v>442</v>
      </c>
      <c r="E111" s="162" t="s">
        <v>266</v>
      </c>
      <c r="F111" s="162" t="s">
        <v>87</v>
      </c>
      <c r="G111" s="162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1">
        <v>74</v>
      </c>
      <c r="B112" s="1" t="str">
        <f t="shared" si="15"/>
        <v>1.08, Disk Harrow 32'</v>
      </c>
      <c r="C112" s="166">
        <v>1.08</v>
      </c>
      <c r="D112" s="162" t="s">
        <v>442</v>
      </c>
      <c r="E112" s="162" t="s">
        <v>266</v>
      </c>
      <c r="F112" s="162" t="s">
        <v>43</v>
      </c>
      <c r="G112" s="162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442</v>
      </c>
      <c r="E113" s="162" t="s">
        <v>266</v>
      </c>
      <c r="F113" s="162" t="s">
        <v>86</v>
      </c>
      <c r="G113" s="162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442</v>
      </c>
      <c r="E114" s="162" t="s">
        <v>267</v>
      </c>
      <c r="F114" s="162" t="s">
        <v>12</v>
      </c>
      <c r="G114" s="162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442</v>
      </c>
      <c r="E115" s="162" t="s">
        <v>268</v>
      </c>
      <c r="F115" s="162" t="s">
        <v>10</v>
      </c>
      <c r="G115" s="162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442</v>
      </c>
      <c r="E116" s="162" t="s">
        <v>269</v>
      </c>
      <c r="F116" s="162" t="s">
        <v>63</v>
      </c>
      <c r="G116" s="162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442</v>
      </c>
      <c r="E117" s="162" t="s">
        <v>270</v>
      </c>
      <c r="F117" s="162" t="s">
        <v>63</v>
      </c>
      <c r="G117" s="162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442</v>
      </c>
      <c r="E118" s="162" t="s">
        <v>271</v>
      </c>
      <c r="F118" s="162" t="s">
        <v>196</v>
      </c>
      <c r="G118" s="162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442</v>
      </c>
      <c r="E119" s="162" t="s">
        <v>271</v>
      </c>
      <c r="F119" s="162" t="s">
        <v>53</v>
      </c>
      <c r="G119" s="162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442</v>
      </c>
      <c r="E120" s="162" t="s">
        <v>271</v>
      </c>
      <c r="F120" s="162" t="s">
        <v>197</v>
      </c>
      <c r="G120" s="162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442</v>
      </c>
      <c r="E121" s="162" t="s">
        <v>271</v>
      </c>
      <c r="F121" s="162" t="s">
        <v>25</v>
      </c>
      <c r="G121" s="162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442</v>
      </c>
      <c r="E122" s="162" t="s">
        <v>271</v>
      </c>
      <c r="F122" s="162" t="s">
        <v>194</v>
      </c>
      <c r="G122" s="162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442</v>
      </c>
      <c r="E123" s="162" t="s">
        <v>271</v>
      </c>
      <c r="F123" s="162" t="s">
        <v>24</v>
      </c>
      <c r="G123" s="16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442</v>
      </c>
      <c r="E124" s="162" t="s">
        <v>271</v>
      </c>
      <c r="F124" s="162" t="s">
        <v>6</v>
      </c>
      <c r="G124" s="162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442</v>
      </c>
      <c r="E125" s="162" t="s">
        <v>271</v>
      </c>
      <c r="F125" s="162" t="s">
        <v>199</v>
      </c>
      <c r="G125" s="16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442</v>
      </c>
      <c r="E126" s="162" t="s">
        <v>271</v>
      </c>
      <c r="F126" s="162" t="s">
        <v>198</v>
      </c>
      <c r="G126" s="162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442</v>
      </c>
      <c r="E127" s="162" t="s">
        <v>271</v>
      </c>
      <c r="F127" s="162" t="s">
        <v>195</v>
      </c>
      <c r="G127" s="162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442</v>
      </c>
      <c r="E128" s="162" t="s">
        <v>272</v>
      </c>
      <c r="F128" s="162" t="s">
        <v>86</v>
      </c>
      <c r="G128" s="162" t="str">
        <f t="shared" si="16"/>
        <v>Field Cult &amp; Inc 42'</v>
      </c>
      <c r="H128" s="246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442</v>
      </c>
      <c r="E129" s="162" t="s">
        <v>272</v>
      </c>
      <c r="F129" s="162" t="s">
        <v>15</v>
      </c>
      <c r="G129" s="162" t="str">
        <f t="shared" si="16"/>
        <v>Field Cult &amp; Inc 50'</v>
      </c>
      <c r="H129" s="246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442</v>
      </c>
      <c r="E130" s="162" t="s">
        <v>273</v>
      </c>
      <c r="F130" s="162" t="s">
        <v>65</v>
      </c>
      <c r="G130" s="162" t="str">
        <f t="shared" si="16"/>
        <v>Field Cult &amp; Inc Fld 24'</v>
      </c>
      <c r="H130" s="246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442</v>
      </c>
      <c r="E131" s="162" t="s">
        <v>273</v>
      </c>
      <c r="F131" s="162" t="s">
        <v>43</v>
      </c>
      <c r="G131" s="162" t="str">
        <f t="shared" si="16"/>
        <v>Field Cult &amp; Inc Fld 32'</v>
      </c>
      <c r="H131" s="246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442</v>
      </c>
      <c r="E132" s="162" t="s">
        <v>274</v>
      </c>
      <c r="F132" s="162" t="s">
        <v>11</v>
      </c>
      <c r="G132" s="162" t="str">
        <f t="shared" si="16"/>
        <v>Field Cult &amp; Inc Rdg 12'</v>
      </c>
      <c r="H132" s="246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442</v>
      </c>
      <c r="E133" s="162" t="s">
        <v>275</v>
      </c>
      <c r="F133" s="162" t="s">
        <v>65</v>
      </c>
      <c r="G133" s="162" t="str">
        <f t="shared" ref="G133:G196" si="31">CONCATENATE(E133,F133)</f>
        <v>Field Cultivate Fld 24'</v>
      </c>
      <c r="H133" s="246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442</v>
      </c>
      <c r="E134" s="162" t="s">
        <v>275</v>
      </c>
      <c r="F134" s="162" t="s">
        <v>43</v>
      </c>
      <c r="G134" s="162" t="str">
        <f t="shared" si="31"/>
        <v>Field Cultivate Fld 32'</v>
      </c>
      <c r="H134" s="246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442</v>
      </c>
      <c r="E135" s="162" t="s">
        <v>275</v>
      </c>
      <c r="F135" s="162" t="s">
        <v>86</v>
      </c>
      <c r="G135" s="162" t="str">
        <f t="shared" si="31"/>
        <v>Field Cultivate Fld 42'</v>
      </c>
      <c r="H135" s="246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442</v>
      </c>
      <c r="E136" s="162" t="s">
        <v>275</v>
      </c>
      <c r="F136" s="162" t="s">
        <v>15</v>
      </c>
      <c r="G136" s="162" t="str">
        <f t="shared" si="31"/>
        <v>Field Cultivate Fld 50'</v>
      </c>
      <c r="H136" s="246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442</v>
      </c>
      <c r="E137" s="162" t="s">
        <v>276</v>
      </c>
      <c r="F137" s="162" t="s">
        <v>11</v>
      </c>
      <c r="G137" s="162" t="str">
        <f t="shared" si="31"/>
        <v>Field Cultivate Rdg 12'</v>
      </c>
      <c r="H137" s="24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1">
        <v>556</v>
      </c>
      <c r="B138" s="1" t="str">
        <f t="shared" si="30"/>
        <v>1.34, Grain Drill  8'</v>
      </c>
      <c r="C138" s="166">
        <v>1.34</v>
      </c>
      <c r="D138" s="162" t="s">
        <v>442</v>
      </c>
      <c r="E138" s="162" t="s">
        <v>277</v>
      </c>
      <c r="F138" s="162" t="s">
        <v>82</v>
      </c>
      <c r="G138" s="16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1">
        <v>558</v>
      </c>
      <c r="B139" s="1" t="str">
        <f t="shared" si="30"/>
        <v>1.35, Grain Drill 10'</v>
      </c>
      <c r="C139" s="166">
        <v>1.35</v>
      </c>
      <c r="D139" s="162" t="s">
        <v>442</v>
      </c>
      <c r="E139" s="162" t="s">
        <v>277</v>
      </c>
      <c r="F139" s="162" t="s">
        <v>66</v>
      </c>
      <c r="G139" s="162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1">
        <v>106</v>
      </c>
      <c r="B140" s="1" t="str">
        <f t="shared" si="30"/>
        <v>1.36, Grain Drill 12'</v>
      </c>
      <c r="C140" s="166">
        <v>1.36</v>
      </c>
      <c r="D140" s="162" t="s">
        <v>442</v>
      </c>
      <c r="E140" s="162" t="s">
        <v>277</v>
      </c>
      <c r="F140" s="162" t="s">
        <v>11</v>
      </c>
      <c r="G140" s="162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1">
        <v>208</v>
      </c>
      <c r="B141" s="1" t="str">
        <f t="shared" si="30"/>
        <v>1.37, Grain Drill 15'</v>
      </c>
      <c r="C141" s="166">
        <v>1.37</v>
      </c>
      <c r="D141" s="162" t="s">
        <v>442</v>
      </c>
      <c r="E141" s="162" t="s">
        <v>277</v>
      </c>
      <c r="F141" s="162" t="s">
        <v>10</v>
      </c>
      <c r="G141" s="162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1">
        <v>107</v>
      </c>
      <c r="B142" s="1" t="str">
        <f t="shared" si="30"/>
        <v>1.38, Grain Drill 20'</v>
      </c>
      <c r="C142" s="166">
        <v>1.38</v>
      </c>
      <c r="D142" s="162" t="s">
        <v>442</v>
      </c>
      <c r="E142" s="162" t="s">
        <v>277</v>
      </c>
      <c r="F142" s="162" t="s">
        <v>8</v>
      </c>
      <c r="G142" s="162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1">
        <v>209</v>
      </c>
      <c r="B143" s="1" t="str">
        <f t="shared" si="30"/>
        <v>1.39, Grain Drill 24'</v>
      </c>
      <c r="C143" s="166">
        <v>1.39</v>
      </c>
      <c r="D143" s="162" t="s">
        <v>442</v>
      </c>
      <c r="E143" s="162" t="s">
        <v>277</v>
      </c>
      <c r="F143" s="162" t="s">
        <v>65</v>
      </c>
      <c r="G143" s="162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1">
        <v>108</v>
      </c>
      <c r="B144" s="1" t="str">
        <f t="shared" si="30"/>
        <v>1.4, Grain Drill 30'</v>
      </c>
      <c r="C144" s="166">
        <v>1.4</v>
      </c>
      <c r="D144" s="162" t="s">
        <v>442</v>
      </c>
      <c r="E144" s="162" t="s">
        <v>277</v>
      </c>
      <c r="F144" s="162" t="s">
        <v>44</v>
      </c>
      <c r="G144" s="162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1">
        <v>560</v>
      </c>
      <c r="B145" s="1" t="str">
        <f t="shared" si="30"/>
        <v>1.41, Grain Drill 35'</v>
      </c>
      <c r="C145" s="166">
        <v>1.41</v>
      </c>
      <c r="D145" s="162" t="s">
        <v>442</v>
      </c>
      <c r="E145" s="162" t="s">
        <v>277</v>
      </c>
      <c r="F145" s="162" t="s">
        <v>81</v>
      </c>
      <c r="G145" s="162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442</v>
      </c>
      <c r="E146" s="162" t="s">
        <v>278</v>
      </c>
      <c r="F146" s="162" t="s">
        <v>82</v>
      </c>
      <c r="G146" s="16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442</v>
      </c>
      <c r="E147" s="162" t="s">
        <v>278</v>
      </c>
      <c r="F147" s="162" t="s">
        <v>66</v>
      </c>
      <c r="G147" s="162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442</v>
      </c>
      <c r="E148" s="162" t="s">
        <v>278</v>
      </c>
      <c r="F148" s="162" t="s">
        <v>11</v>
      </c>
      <c r="G148" s="162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442</v>
      </c>
      <c r="E149" s="162" t="s">
        <v>278</v>
      </c>
      <c r="F149" s="162" t="s">
        <v>10</v>
      </c>
      <c r="G149" s="162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442</v>
      </c>
      <c r="E150" s="162" t="s">
        <v>278</v>
      </c>
      <c r="F150" s="162" t="s">
        <v>8</v>
      </c>
      <c r="G150" s="162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442</v>
      </c>
      <c r="E151" s="162" t="s">
        <v>278</v>
      </c>
      <c r="F151" s="162" t="s">
        <v>65</v>
      </c>
      <c r="G151" s="162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442</v>
      </c>
      <c r="E152" s="162" t="s">
        <v>278</v>
      </c>
      <c r="F152" s="162" t="s">
        <v>44</v>
      </c>
      <c r="G152" s="162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442</v>
      </c>
      <c r="E153" s="162" t="s">
        <v>278</v>
      </c>
      <c r="F153" s="162" t="s">
        <v>81</v>
      </c>
      <c r="G153" s="162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442</v>
      </c>
      <c r="E154" s="162" t="s">
        <v>279</v>
      </c>
      <c r="F154" s="162" t="s">
        <v>200</v>
      </c>
      <c r="G154" s="162" t="str">
        <f t="shared" si="31"/>
        <v>Grain Drill &amp; Pre T 8R-36</v>
      </c>
      <c r="H154" s="247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442</v>
      </c>
      <c r="E155" s="162" t="s">
        <v>280</v>
      </c>
      <c r="F155" s="162" t="s">
        <v>39</v>
      </c>
      <c r="G155" s="162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442</v>
      </c>
      <c r="E156" s="162" t="s">
        <v>281</v>
      </c>
      <c r="F156" s="162" t="s">
        <v>80</v>
      </c>
      <c r="G156" s="16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442</v>
      </c>
      <c r="E157" s="162" t="s">
        <v>281</v>
      </c>
      <c r="F157" s="162" t="s">
        <v>65</v>
      </c>
      <c r="G157" s="162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442</v>
      </c>
      <c r="E158" s="162" t="s">
        <v>281</v>
      </c>
      <c r="F158" s="162" t="s">
        <v>44</v>
      </c>
      <c r="G158" s="16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442</v>
      </c>
      <c r="E159" s="162" t="s">
        <v>281</v>
      </c>
      <c r="F159" s="162" t="s">
        <v>16</v>
      </c>
      <c r="G159" s="162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442</v>
      </c>
      <c r="E160" s="162" t="s">
        <v>281</v>
      </c>
      <c r="F160" s="162" t="s">
        <v>79</v>
      </c>
      <c r="G160" s="162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1">
        <v>185</v>
      </c>
      <c r="B161" s="1" t="str">
        <f t="shared" si="30"/>
        <v>1.57, Harrow - Rigid 13'</v>
      </c>
      <c r="C161" s="166">
        <v>1.57</v>
      </c>
      <c r="D161" s="162" t="s">
        <v>442</v>
      </c>
      <c r="E161" s="162" t="s">
        <v>282</v>
      </c>
      <c r="F161" s="162" t="s">
        <v>40</v>
      </c>
      <c r="G161" s="162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1"/>
      <c r="B162" s="1" t="str">
        <f t="shared" si="30"/>
        <v>1.58, Heavy Disk 14'</v>
      </c>
      <c r="C162" s="166">
        <v>1.58</v>
      </c>
      <c r="D162" s="162" t="s">
        <v>442</v>
      </c>
      <c r="E162" s="162" t="s">
        <v>426</v>
      </c>
      <c r="F162" s="162" t="s">
        <v>12</v>
      </c>
      <c r="G162" s="162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1"/>
      <c r="B163" s="1" t="str">
        <f t="shared" si="30"/>
        <v>1.59, Heavy Disk 21'</v>
      </c>
      <c r="C163" s="166">
        <v>1.59</v>
      </c>
      <c r="D163" s="162" t="s">
        <v>442</v>
      </c>
      <c r="E163" s="162" t="s">
        <v>426</v>
      </c>
      <c r="F163" s="162" t="s">
        <v>39</v>
      </c>
      <c r="G163" s="162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1"/>
      <c r="B164" s="1" t="str">
        <f t="shared" si="30"/>
        <v>1.6, Heavy Disk 27'</v>
      </c>
      <c r="C164" s="166">
        <v>1.6</v>
      </c>
      <c r="D164" s="162" t="s">
        <v>442</v>
      </c>
      <c r="E164" s="162" t="s">
        <v>426</v>
      </c>
      <c r="F164" s="162" t="s">
        <v>17</v>
      </c>
      <c r="G164" s="162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1">
        <v>113</v>
      </c>
      <c r="B165" s="1" t="str">
        <f t="shared" si="30"/>
        <v>1.61, Land Plane 50'x16'</v>
      </c>
      <c r="C165" s="166">
        <v>1.61</v>
      </c>
      <c r="D165" s="162" t="s">
        <v>442</v>
      </c>
      <c r="E165" s="162" t="s">
        <v>283</v>
      </c>
      <c r="F165" s="162" t="s">
        <v>76</v>
      </c>
      <c r="G165" s="162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442</v>
      </c>
      <c r="E166" s="162" t="s">
        <v>284</v>
      </c>
      <c r="F166" s="162" t="s">
        <v>75</v>
      </c>
      <c r="G166" s="162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442</v>
      </c>
      <c r="E167" s="162" t="s">
        <v>285</v>
      </c>
      <c r="F167" s="162" t="s">
        <v>74</v>
      </c>
      <c r="G167" s="162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442</v>
      </c>
      <c r="E168" s="162" t="s">
        <v>286</v>
      </c>
      <c r="F168" s="162" t="s">
        <v>74</v>
      </c>
      <c r="G168" s="162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1">
        <v>723</v>
      </c>
      <c r="B169" s="1" t="str">
        <f t="shared" si="30"/>
        <v>1.65, NT Grain Drill  6'</v>
      </c>
      <c r="C169" s="166">
        <v>1.65</v>
      </c>
      <c r="D169" s="162" t="s">
        <v>442</v>
      </c>
      <c r="E169" s="162" t="s">
        <v>287</v>
      </c>
      <c r="F169" s="162" t="s">
        <v>67</v>
      </c>
      <c r="G169" s="16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1">
        <v>554</v>
      </c>
      <c r="B170" s="1" t="str">
        <f t="shared" si="30"/>
        <v>1.66, NT Grain Drill 10'</v>
      </c>
      <c r="C170" s="166">
        <v>1.66</v>
      </c>
      <c r="D170" s="162" t="s">
        <v>442</v>
      </c>
      <c r="E170" s="162" t="s">
        <v>287</v>
      </c>
      <c r="F170" s="162" t="s">
        <v>66</v>
      </c>
      <c r="G170" s="162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1">
        <v>127</v>
      </c>
      <c r="B171" s="1" t="str">
        <f t="shared" si="30"/>
        <v>1.67, NT Grain Drill 12'</v>
      </c>
      <c r="C171" s="166">
        <v>1.67</v>
      </c>
      <c r="D171" s="162" t="s">
        <v>442</v>
      </c>
      <c r="E171" s="162" t="s">
        <v>287</v>
      </c>
      <c r="F171" s="162" t="s">
        <v>11</v>
      </c>
      <c r="G171" s="162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1">
        <v>328</v>
      </c>
      <c r="B172" s="1" t="str">
        <f t="shared" si="30"/>
        <v>1.68, NT Grain Drill 15'</v>
      </c>
      <c r="C172" s="166">
        <v>1.68</v>
      </c>
      <c r="D172" s="162" t="s">
        <v>442</v>
      </c>
      <c r="E172" s="162" t="s">
        <v>287</v>
      </c>
      <c r="F172" s="162" t="s">
        <v>10</v>
      </c>
      <c r="G172" s="162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1">
        <v>128</v>
      </c>
      <c r="B173" s="1" t="str">
        <f t="shared" si="30"/>
        <v>1.69, NT Grain Drill 20'</v>
      </c>
      <c r="C173" s="166">
        <v>1.69</v>
      </c>
      <c r="D173" s="162" t="s">
        <v>442</v>
      </c>
      <c r="E173" s="162" t="s">
        <v>287</v>
      </c>
      <c r="F173" s="162" t="s">
        <v>8</v>
      </c>
      <c r="G173" s="162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1">
        <v>329</v>
      </c>
      <c r="B174" s="1" t="str">
        <f t="shared" si="30"/>
        <v>1.7, NT Grain Drill 24'</v>
      </c>
      <c r="C174" s="166">
        <v>1.7</v>
      </c>
      <c r="D174" s="162" t="s">
        <v>442</v>
      </c>
      <c r="E174" s="162" t="s">
        <v>287</v>
      </c>
      <c r="F174" s="162" t="s">
        <v>65</v>
      </c>
      <c r="G174" s="162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1">
        <v>129</v>
      </c>
      <c r="B175" s="1" t="str">
        <f t="shared" si="30"/>
        <v>1.71, NT Grain Drill 30'</v>
      </c>
      <c r="C175" s="166">
        <v>1.71</v>
      </c>
      <c r="D175" s="162" t="s">
        <v>442</v>
      </c>
      <c r="E175" s="162" t="s">
        <v>287</v>
      </c>
      <c r="F175" s="162" t="s">
        <v>44</v>
      </c>
      <c r="G175" s="162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442</v>
      </c>
      <c r="E176" s="162" t="s">
        <v>288</v>
      </c>
      <c r="F176" s="162" t="s">
        <v>67</v>
      </c>
      <c r="G176" s="16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442</v>
      </c>
      <c r="E177" s="162" t="s">
        <v>288</v>
      </c>
      <c r="F177" s="162" t="s">
        <v>66</v>
      </c>
      <c r="G177" s="162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442</v>
      </c>
      <c r="E178" s="162" t="s">
        <v>288</v>
      </c>
      <c r="F178" s="162" t="s">
        <v>11</v>
      </c>
      <c r="G178" s="162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442</v>
      </c>
      <c r="E179" s="162" t="s">
        <v>288</v>
      </c>
      <c r="F179" s="162" t="s">
        <v>10</v>
      </c>
      <c r="G179" s="162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442</v>
      </c>
      <c r="E180" s="162" t="s">
        <v>288</v>
      </c>
      <c r="F180" s="162" t="s">
        <v>8</v>
      </c>
      <c r="G180" s="162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442</v>
      </c>
      <c r="E181" s="162" t="s">
        <v>288</v>
      </c>
      <c r="F181" s="162" t="s">
        <v>65</v>
      </c>
      <c r="G181" s="162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442</v>
      </c>
      <c r="E182" s="162" t="s">
        <v>288</v>
      </c>
      <c r="F182" s="162" t="s">
        <v>44</v>
      </c>
      <c r="G182" s="162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442</v>
      </c>
      <c r="E183" s="162" t="s">
        <v>289</v>
      </c>
      <c r="F183" s="162" t="s">
        <v>50</v>
      </c>
      <c r="G183" s="162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442</v>
      </c>
      <c r="E184" s="162" t="s">
        <v>289</v>
      </c>
      <c r="F184" s="162" t="s">
        <v>194</v>
      </c>
      <c r="G184" s="162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442</v>
      </c>
      <c r="E185" s="162" t="s">
        <v>289</v>
      </c>
      <c r="F185" s="162" t="s">
        <v>62</v>
      </c>
      <c r="G185" s="162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442</v>
      </c>
      <c r="E186" s="162" t="s">
        <v>289</v>
      </c>
      <c r="F186" s="162" t="s">
        <v>6</v>
      </c>
      <c r="G186" s="162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442</v>
      </c>
      <c r="E187" s="162" t="s">
        <v>289</v>
      </c>
      <c r="F187" s="162" t="s">
        <v>61</v>
      </c>
      <c r="G187" s="162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442</v>
      </c>
      <c r="E188" s="162" t="s">
        <v>289</v>
      </c>
      <c r="F188" s="162" t="s">
        <v>198</v>
      </c>
      <c r="G188" s="162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442</v>
      </c>
      <c r="E189" s="162" t="s">
        <v>289</v>
      </c>
      <c r="F189" s="162" t="s">
        <v>195</v>
      </c>
      <c r="G189" s="162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442</v>
      </c>
      <c r="E190" s="162" t="s">
        <v>289</v>
      </c>
      <c r="F190" s="162" t="s">
        <v>60</v>
      </c>
      <c r="G190" s="162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442</v>
      </c>
      <c r="E191" s="162" t="s">
        <v>289</v>
      </c>
      <c r="F191" s="162" t="s">
        <v>59</v>
      </c>
      <c r="G191" s="162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442</v>
      </c>
      <c r="E192" s="162" t="s">
        <v>289</v>
      </c>
      <c r="F192" s="162" t="s">
        <v>58</v>
      </c>
      <c r="G192" s="162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442</v>
      </c>
      <c r="E193" s="162" t="s">
        <v>289</v>
      </c>
      <c r="F193" s="162" t="s">
        <v>57</v>
      </c>
      <c r="G193" s="162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442</v>
      </c>
      <c r="E194" s="162" t="s">
        <v>289</v>
      </c>
      <c r="F194" s="162" t="s">
        <v>56</v>
      </c>
      <c r="G194" s="162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442</v>
      </c>
      <c r="E195" s="162" t="s">
        <v>289</v>
      </c>
      <c r="F195" s="162" t="s">
        <v>55</v>
      </c>
      <c r="G195" s="16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442</v>
      </c>
      <c r="E196" s="162" t="s">
        <v>290</v>
      </c>
      <c r="F196" s="162" t="s">
        <v>48</v>
      </c>
      <c r="G196" s="162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442</v>
      </c>
      <c r="E197" s="162" t="s">
        <v>290</v>
      </c>
      <c r="F197" s="162" t="s">
        <v>196</v>
      </c>
      <c r="G197" s="162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442</v>
      </c>
      <c r="E198" s="162" t="s">
        <v>290</v>
      </c>
      <c r="F198" s="162" t="s">
        <v>54</v>
      </c>
      <c r="G198" s="162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442</v>
      </c>
      <c r="E199" s="162" t="s">
        <v>290</v>
      </c>
      <c r="F199" s="162" t="s">
        <v>53</v>
      </c>
      <c r="G199" s="162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442</v>
      </c>
      <c r="E200" s="162" t="s">
        <v>290</v>
      </c>
      <c r="F200" s="162" t="s">
        <v>197</v>
      </c>
      <c r="G200" s="162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442</v>
      </c>
      <c r="E201" s="162" t="s">
        <v>290</v>
      </c>
      <c r="F201" s="162" t="s">
        <v>52</v>
      </c>
      <c r="G201" s="162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442</v>
      </c>
      <c r="E202" s="162" t="s">
        <v>290</v>
      </c>
      <c r="F202" s="162" t="s">
        <v>51</v>
      </c>
      <c r="G202" s="162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442</v>
      </c>
      <c r="E203" s="162" t="s">
        <v>290</v>
      </c>
      <c r="F203" s="162" t="s">
        <v>25</v>
      </c>
      <c r="G203" s="162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442</v>
      </c>
      <c r="E204" s="162" t="s">
        <v>290</v>
      </c>
      <c r="F204" s="162" t="s">
        <v>50</v>
      </c>
      <c r="G204" s="162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442</v>
      </c>
      <c r="E205" s="162" t="s">
        <v>290</v>
      </c>
      <c r="F205" s="162" t="s">
        <v>49</v>
      </c>
      <c r="G205" s="162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442</v>
      </c>
      <c r="E206" s="162" t="s">
        <v>290</v>
      </c>
      <c r="F206" s="162" t="s">
        <v>194</v>
      </c>
      <c r="G206" s="162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442</v>
      </c>
      <c r="E207" s="162" t="s">
        <v>290</v>
      </c>
      <c r="F207" s="162" t="s">
        <v>24</v>
      </c>
      <c r="G207" s="162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442</v>
      </c>
      <c r="E208" s="162" t="s">
        <v>290</v>
      </c>
      <c r="F208" s="162" t="s">
        <v>6</v>
      </c>
      <c r="G208" s="162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442</v>
      </c>
      <c r="E209" s="162" t="s">
        <v>291</v>
      </c>
      <c r="F209" s="162" t="s">
        <v>200</v>
      </c>
      <c r="G209" s="162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442</v>
      </c>
      <c r="E210" s="162" t="s">
        <v>291</v>
      </c>
      <c r="F210" s="162" t="s">
        <v>195</v>
      </c>
      <c r="G210" s="162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442</v>
      </c>
      <c r="E211" s="162" t="s">
        <v>292</v>
      </c>
      <c r="F211" s="162" t="s">
        <v>50</v>
      </c>
      <c r="G211" s="162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442</v>
      </c>
      <c r="E212" s="162" t="s">
        <v>292</v>
      </c>
      <c r="F212" s="162" t="s">
        <v>194</v>
      </c>
      <c r="G212" s="162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442</v>
      </c>
      <c r="E213" s="162" t="s">
        <v>292</v>
      </c>
      <c r="F213" s="162" t="s">
        <v>62</v>
      </c>
      <c r="G213" s="162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442</v>
      </c>
      <c r="E214" s="162" t="s">
        <v>292</v>
      </c>
      <c r="F214" s="162" t="s">
        <v>6</v>
      </c>
      <c r="G214" s="162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442</v>
      </c>
      <c r="E215" s="162" t="s">
        <v>292</v>
      </c>
      <c r="F215" s="162" t="s">
        <v>61</v>
      </c>
      <c r="G215" s="162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442</v>
      </c>
      <c r="E216" s="162" t="s">
        <v>292</v>
      </c>
      <c r="F216" s="162" t="s">
        <v>198</v>
      </c>
      <c r="G216" s="162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442</v>
      </c>
      <c r="E217" s="162" t="s">
        <v>292</v>
      </c>
      <c r="F217" s="162" t="s">
        <v>195</v>
      </c>
      <c r="G217" s="162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442</v>
      </c>
      <c r="E218" s="162" t="s">
        <v>292</v>
      </c>
      <c r="F218" s="162" t="s">
        <v>60</v>
      </c>
      <c r="G218" s="162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442</v>
      </c>
      <c r="E219" s="162" t="s">
        <v>292</v>
      </c>
      <c r="F219" s="162" t="s">
        <v>59</v>
      </c>
      <c r="G219" s="162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442</v>
      </c>
      <c r="E220" s="162" t="s">
        <v>292</v>
      </c>
      <c r="F220" s="162" t="s">
        <v>58</v>
      </c>
      <c r="G220" s="162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442</v>
      </c>
      <c r="E221" s="162" t="s">
        <v>292</v>
      </c>
      <c r="F221" s="162" t="s">
        <v>57</v>
      </c>
      <c r="G221" s="162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442</v>
      </c>
      <c r="E222" s="162" t="s">
        <v>292</v>
      </c>
      <c r="F222" s="162" t="s">
        <v>56</v>
      </c>
      <c r="G222" s="162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442</v>
      </c>
      <c r="E223" s="162" t="s">
        <v>292</v>
      </c>
      <c r="F223" s="162" t="s">
        <v>55</v>
      </c>
      <c r="G223" s="16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442</v>
      </c>
      <c r="E224" s="162" t="s">
        <v>293</v>
      </c>
      <c r="F224" s="162" t="s">
        <v>48</v>
      </c>
      <c r="G224" s="162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442</v>
      </c>
      <c r="E225" s="162" t="s">
        <v>293</v>
      </c>
      <c r="F225" s="162" t="s">
        <v>196</v>
      </c>
      <c r="G225" s="162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442</v>
      </c>
      <c r="E226" s="162" t="s">
        <v>293</v>
      </c>
      <c r="F226" s="162" t="s">
        <v>54</v>
      </c>
      <c r="G226" s="162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442</v>
      </c>
      <c r="E227" s="162" t="s">
        <v>293</v>
      </c>
      <c r="F227" s="162" t="s">
        <v>53</v>
      </c>
      <c r="G227" s="162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442</v>
      </c>
      <c r="E228" s="162" t="s">
        <v>293</v>
      </c>
      <c r="F228" s="162" t="s">
        <v>197</v>
      </c>
      <c r="G228" s="162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442</v>
      </c>
      <c r="E229" s="162" t="s">
        <v>293</v>
      </c>
      <c r="F229" s="162" t="s">
        <v>52</v>
      </c>
      <c r="G229" s="162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442</v>
      </c>
      <c r="E230" s="162" t="s">
        <v>293</v>
      </c>
      <c r="F230" s="162" t="s">
        <v>51</v>
      </c>
      <c r="G230" s="162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442</v>
      </c>
      <c r="E231" s="162" t="s">
        <v>293</v>
      </c>
      <c r="F231" s="162" t="s">
        <v>25</v>
      </c>
      <c r="G231" s="162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442</v>
      </c>
      <c r="E232" s="162" t="s">
        <v>293</v>
      </c>
      <c r="F232" s="162" t="s">
        <v>50</v>
      </c>
      <c r="G232" s="162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442</v>
      </c>
      <c r="E233" s="162" t="s">
        <v>293</v>
      </c>
      <c r="F233" s="162" t="s">
        <v>49</v>
      </c>
      <c r="G233" s="162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442</v>
      </c>
      <c r="E234" s="162" t="s">
        <v>293</v>
      </c>
      <c r="F234" s="162" t="s">
        <v>194</v>
      </c>
      <c r="G234" s="162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442</v>
      </c>
      <c r="E235" s="162" t="s">
        <v>293</v>
      </c>
      <c r="F235" s="162" t="s">
        <v>24</v>
      </c>
      <c r="G235" s="162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442</v>
      </c>
      <c r="E236" s="162" t="s">
        <v>293</v>
      </c>
      <c r="F236" s="162" t="s">
        <v>6</v>
      </c>
      <c r="G236" s="162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442</v>
      </c>
      <c r="E237" s="162" t="s">
        <v>294</v>
      </c>
      <c r="F237" s="162" t="s">
        <v>200</v>
      </c>
      <c r="G237" s="162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442</v>
      </c>
      <c r="E238" s="162" t="s">
        <v>294</v>
      </c>
      <c r="F238" s="162" t="s">
        <v>195</v>
      </c>
      <c r="G238" s="162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442</v>
      </c>
      <c r="E239" s="162" t="s">
        <v>295</v>
      </c>
      <c r="F239" s="162" t="s">
        <v>73</v>
      </c>
      <c r="G239" s="16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442</v>
      </c>
      <c r="E240" s="162" t="s">
        <v>295</v>
      </c>
      <c r="F240" s="162" t="s">
        <v>201</v>
      </c>
      <c r="G240" s="16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442</v>
      </c>
      <c r="E241" s="162" t="s">
        <v>295</v>
      </c>
      <c r="F241" s="162" t="s">
        <v>200</v>
      </c>
      <c r="G241" s="16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442</v>
      </c>
      <c r="E242" s="162" t="s">
        <v>296</v>
      </c>
      <c r="F242" s="162" t="s">
        <v>195</v>
      </c>
      <c r="G242" s="162" t="str">
        <f t="shared" si="46"/>
        <v>Peanut Plant &amp; Pre Fold. 12R-36</v>
      </c>
      <c r="H242" s="24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442</v>
      </c>
      <c r="E243" s="162" t="s">
        <v>297</v>
      </c>
      <c r="F243" s="162" t="s">
        <v>25</v>
      </c>
      <c r="G243" s="162" t="str">
        <f t="shared" si="46"/>
        <v>Peanut Plant &amp; Pre Rigid  8R-30</v>
      </c>
      <c r="H243" s="24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442</v>
      </c>
      <c r="E244" s="162" t="s">
        <v>297</v>
      </c>
      <c r="F244" s="162" t="s">
        <v>194</v>
      </c>
      <c r="G244" s="162" t="str">
        <f t="shared" si="46"/>
        <v>Peanut Plant &amp; Pre Rigid  8R-36</v>
      </c>
      <c r="H244" s="24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442</v>
      </c>
      <c r="E245" s="162" t="s">
        <v>298</v>
      </c>
      <c r="F245" s="162" t="s">
        <v>64</v>
      </c>
      <c r="G245" s="162" t="str">
        <f t="shared" si="46"/>
        <v>Pipe Spool 160 ac 1/4m roll</v>
      </c>
      <c r="H245" s="24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442</v>
      </c>
      <c r="E246" s="162" t="s">
        <v>299</v>
      </c>
      <c r="F246" s="162" t="s">
        <v>44</v>
      </c>
      <c r="G246" s="162" t="str">
        <f t="shared" si="46"/>
        <v>Pipe Trailer 1m/160a 30'</v>
      </c>
      <c r="H246" s="24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442</v>
      </c>
      <c r="E247" s="162" t="s">
        <v>300</v>
      </c>
      <c r="F247" s="162" t="s">
        <v>50</v>
      </c>
      <c r="G247" s="162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442</v>
      </c>
      <c r="E248" s="162" t="s">
        <v>300</v>
      </c>
      <c r="F248" s="162" t="s">
        <v>194</v>
      </c>
      <c r="G248" s="162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442</v>
      </c>
      <c r="E249" s="162" t="s">
        <v>300</v>
      </c>
      <c r="F249" s="162" t="s">
        <v>62</v>
      </c>
      <c r="G249" s="162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442</v>
      </c>
      <c r="E250" s="162" t="s">
        <v>300</v>
      </c>
      <c r="F250" s="162" t="s">
        <v>6</v>
      </c>
      <c r="G250" s="162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442</v>
      </c>
      <c r="E251" s="162" t="s">
        <v>300</v>
      </c>
      <c r="F251" s="162" t="s">
        <v>61</v>
      </c>
      <c r="G251" s="162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442</v>
      </c>
      <c r="E252" s="162" t="s">
        <v>300</v>
      </c>
      <c r="F252" s="162" t="s">
        <v>198</v>
      </c>
      <c r="G252" s="162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442</v>
      </c>
      <c r="E253" s="162" t="s">
        <v>300</v>
      </c>
      <c r="F253" s="162" t="s">
        <v>195</v>
      </c>
      <c r="G253" s="162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442</v>
      </c>
      <c r="E254" s="162" t="s">
        <v>300</v>
      </c>
      <c r="F254" s="162" t="s">
        <v>60</v>
      </c>
      <c r="G254" s="162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442</v>
      </c>
      <c r="E255" s="162" t="s">
        <v>300</v>
      </c>
      <c r="F255" s="162" t="s">
        <v>59</v>
      </c>
      <c r="G255" s="162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442</v>
      </c>
      <c r="E256" s="162" t="s">
        <v>300</v>
      </c>
      <c r="F256" s="162" t="s">
        <v>58</v>
      </c>
      <c r="G256" s="162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442</v>
      </c>
      <c r="E257" s="162" t="s">
        <v>300</v>
      </c>
      <c r="F257" s="162" t="s">
        <v>57</v>
      </c>
      <c r="G257" s="162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442</v>
      </c>
      <c r="E258" s="162" t="s">
        <v>300</v>
      </c>
      <c r="F258" s="162" t="s">
        <v>56</v>
      </c>
      <c r="G258" s="162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442</v>
      </c>
      <c r="E259" s="162" t="s">
        <v>300</v>
      </c>
      <c r="F259" s="162" t="s">
        <v>55</v>
      </c>
      <c r="G259" s="16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442</v>
      </c>
      <c r="E260" s="162" t="s">
        <v>301</v>
      </c>
      <c r="F260" s="162" t="s">
        <v>48</v>
      </c>
      <c r="G260" s="162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442</v>
      </c>
      <c r="E261" s="162" t="s">
        <v>301</v>
      </c>
      <c r="F261" s="162" t="s">
        <v>196</v>
      </c>
      <c r="G261" s="162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442</v>
      </c>
      <c r="E262" s="162" t="s">
        <v>301</v>
      </c>
      <c r="F262" s="162" t="s">
        <v>54</v>
      </c>
      <c r="G262" s="162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442</v>
      </c>
      <c r="E263" s="162" t="s">
        <v>301</v>
      </c>
      <c r="F263" s="162" t="s">
        <v>53</v>
      </c>
      <c r="G263" s="162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1">
        <v>147</v>
      </c>
      <c r="B264" s="1" t="str">
        <f t="shared" si="60"/>
        <v>2.6, Plant - Rigid  6R-36</v>
      </c>
      <c r="C264" s="166">
        <v>2.6</v>
      </c>
      <c r="D264" s="162" t="s">
        <v>442</v>
      </c>
      <c r="E264" s="162" t="s">
        <v>301</v>
      </c>
      <c r="F264" s="162" t="s">
        <v>197</v>
      </c>
      <c r="G264" s="162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442</v>
      </c>
      <c r="E265" s="162" t="s">
        <v>301</v>
      </c>
      <c r="F265" s="162" t="s">
        <v>52</v>
      </c>
      <c r="G265" s="162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442</v>
      </c>
      <c r="E266" s="162" t="s">
        <v>301</v>
      </c>
      <c r="F266" s="162" t="s">
        <v>25</v>
      </c>
      <c r="G266" s="162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442</v>
      </c>
      <c r="E267" s="162" t="s">
        <v>301</v>
      </c>
      <c r="F267" s="162" t="s">
        <v>50</v>
      </c>
      <c r="G267" s="162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442</v>
      </c>
      <c r="E268" s="162" t="s">
        <v>301</v>
      </c>
      <c r="F268" s="162" t="s">
        <v>51</v>
      </c>
      <c r="G268" s="162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442</v>
      </c>
      <c r="E269" s="162" t="s">
        <v>301</v>
      </c>
      <c r="F269" s="162" t="s">
        <v>49</v>
      </c>
      <c r="G269" s="162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442</v>
      </c>
      <c r="E270" s="162" t="s">
        <v>301</v>
      </c>
      <c r="F270" s="162" t="s">
        <v>194</v>
      </c>
      <c r="G270" s="162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442</v>
      </c>
      <c r="E271" s="162" t="s">
        <v>301</v>
      </c>
      <c r="F271" s="162" t="s">
        <v>24</v>
      </c>
      <c r="G271" s="162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442</v>
      </c>
      <c r="E272" s="162" t="s">
        <v>301</v>
      </c>
      <c r="F272" s="162" t="s">
        <v>6</v>
      </c>
      <c r="G272" s="162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442</v>
      </c>
      <c r="E273" s="162" t="s">
        <v>302</v>
      </c>
      <c r="F273" s="162" t="s">
        <v>200</v>
      </c>
      <c r="G273" s="162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442</v>
      </c>
      <c r="E274" s="162" t="s">
        <v>302</v>
      </c>
      <c r="F274" s="162" t="s">
        <v>195</v>
      </c>
      <c r="G274" s="162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442</v>
      </c>
      <c r="E275" s="162" t="s">
        <v>303</v>
      </c>
      <c r="F275" s="162" t="s">
        <v>50</v>
      </c>
      <c r="G275" s="162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442</v>
      </c>
      <c r="E276" s="162" t="s">
        <v>303</v>
      </c>
      <c r="F276" s="162" t="s">
        <v>194</v>
      </c>
      <c r="G276" s="162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442</v>
      </c>
      <c r="E277" s="162" t="s">
        <v>303</v>
      </c>
      <c r="F277" s="162" t="s">
        <v>62</v>
      </c>
      <c r="G277" s="162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442</v>
      </c>
      <c r="E278" s="162" t="s">
        <v>303</v>
      </c>
      <c r="F278" s="162" t="s">
        <v>6</v>
      </c>
      <c r="G278" s="162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442</v>
      </c>
      <c r="E279" s="162" t="s">
        <v>303</v>
      </c>
      <c r="F279" s="162" t="s">
        <v>61</v>
      </c>
      <c r="G279" s="162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442</v>
      </c>
      <c r="E280" s="162" t="s">
        <v>303</v>
      </c>
      <c r="F280" s="162" t="s">
        <v>198</v>
      </c>
      <c r="G280" s="162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442</v>
      </c>
      <c r="E281" s="162" t="s">
        <v>303</v>
      </c>
      <c r="F281" s="162" t="s">
        <v>195</v>
      </c>
      <c r="G281" s="162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442</v>
      </c>
      <c r="E282" s="162" t="s">
        <v>303</v>
      </c>
      <c r="F282" s="162" t="s">
        <v>60</v>
      </c>
      <c r="G282" s="162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442</v>
      </c>
      <c r="E283" s="162" t="s">
        <v>303</v>
      </c>
      <c r="F283" s="162" t="s">
        <v>59</v>
      </c>
      <c r="G283" s="162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442</v>
      </c>
      <c r="E284" s="162" t="s">
        <v>303</v>
      </c>
      <c r="F284" s="162" t="s">
        <v>58</v>
      </c>
      <c r="G284" s="162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442</v>
      </c>
      <c r="E285" s="162" t="s">
        <v>303</v>
      </c>
      <c r="F285" s="162" t="s">
        <v>57</v>
      </c>
      <c r="G285" s="162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442</v>
      </c>
      <c r="E286" s="162" t="s">
        <v>303</v>
      </c>
      <c r="F286" s="162" t="s">
        <v>56</v>
      </c>
      <c r="G286" s="162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442</v>
      </c>
      <c r="E287" s="162" t="s">
        <v>303</v>
      </c>
      <c r="F287" s="162" t="s">
        <v>55</v>
      </c>
      <c r="G287" s="16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442</v>
      </c>
      <c r="E288" s="162" t="s">
        <v>304</v>
      </c>
      <c r="F288" s="162" t="s">
        <v>48</v>
      </c>
      <c r="G288" s="162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442</v>
      </c>
      <c r="E289" s="162" t="s">
        <v>304</v>
      </c>
      <c r="F289" s="162" t="s">
        <v>196</v>
      </c>
      <c r="G289" s="162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442</v>
      </c>
      <c r="E290" s="162" t="s">
        <v>304</v>
      </c>
      <c r="F290" s="162" t="s">
        <v>54</v>
      </c>
      <c r="G290" s="162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442</v>
      </c>
      <c r="E291" s="162" t="s">
        <v>304</v>
      </c>
      <c r="F291" s="162" t="s">
        <v>53</v>
      </c>
      <c r="G291" s="162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442</v>
      </c>
      <c r="E292" s="162" t="s">
        <v>304</v>
      </c>
      <c r="F292" s="162" t="s">
        <v>197</v>
      </c>
      <c r="G292" s="162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442</v>
      </c>
      <c r="E293" s="162" t="s">
        <v>304</v>
      </c>
      <c r="F293" s="162" t="s">
        <v>52</v>
      </c>
      <c r="G293" s="162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442</v>
      </c>
      <c r="E294" s="162" t="s">
        <v>304</v>
      </c>
      <c r="F294" s="162" t="s">
        <v>51</v>
      </c>
      <c r="G294" s="162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442</v>
      </c>
      <c r="E295" s="162" t="s">
        <v>304</v>
      </c>
      <c r="F295" s="162" t="s">
        <v>25</v>
      </c>
      <c r="G295" s="162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442</v>
      </c>
      <c r="E296" s="162" t="s">
        <v>304</v>
      </c>
      <c r="F296" s="162" t="s">
        <v>50</v>
      </c>
      <c r="G296" s="162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442</v>
      </c>
      <c r="E297" s="162" t="s">
        <v>304</v>
      </c>
      <c r="F297" s="162" t="s">
        <v>49</v>
      </c>
      <c r="G297" s="162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442</v>
      </c>
      <c r="E298" s="162" t="s">
        <v>304</v>
      </c>
      <c r="F298" s="162" t="s">
        <v>194</v>
      </c>
      <c r="G298" s="162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442</v>
      </c>
      <c r="E299" s="162" t="s">
        <v>304</v>
      </c>
      <c r="F299" s="162" t="s">
        <v>24</v>
      </c>
      <c r="G299" s="162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442</v>
      </c>
      <c r="E300" s="162" t="s">
        <v>304</v>
      </c>
      <c r="F300" s="162" t="s">
        <v>6</v>
      </c>
      <c r="G300" s="162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442</v>
      </c>
      <c r="E301" s="162" t="s">
        <v>305</v>
      </c>
      <c r="F301" s="162" t="s">
        <v>200</v>
      </c>
      <c r="G301" s="162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442</v>
      </c>
      <c r="E302" s="162" t="s">
        <v>305</v>
      </c>
      <c r="F302" s="162" t="s">
        <v>195</v>
      </c>
      <c r="G302" s="162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1"/>
      <c r="B303" s="1" t="str">
        <f t="shared" si="60"/>
        <v>2.99, Plow 4 Bottom Switch</v>
      </c>
      <c r="C303" s="166">
        <v>2.99</v>
      </c>
      <c r="D303" s="162" t="s">
        <v>442</v>
      </c>
      <c r="E303" s="162" t="s">
        <v>427</v>
      </c>
      <c r="F303" s="162" t="s">
        <v>428</v>
      </c>
      <c r="G303" s="16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1"/>
      <c r="B304" s="1" t="str">
        <f t="shared" si="60"/>
        <v>3, Plow 5 Bottom Switch</v>
      </c>
      <c r="C304" s="166">
        <v>3</v>
      </c>
      <c r="D304" s="162" t="s">
        <v>442</v>
      </c>
      <c r="E304" s="162" t="s">
        <v>427</v>
      </c>
      <c r="F304" s="162" t="s">
        <v>429</v>
      </c>
      <c r="G304" s="16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442</v>
      </c>
      <c r="E305" s="162" t="s">
        <v>306</v>
      </c>
      <c r="F305" s="162" t="s">
        <v>11</v>
      </c>
      <c r="G305" s="162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442</v>
      </c>
      <c r="E306" s="162" t="s">
        <v>306</v>
      </c>
      <c r="F306" s="162" t="s">
        <v>8</v>
      </c>
      <c r="G306" s="162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442</v>
      </c>
      <c r="E307" s="162" t="s">
        <v>306</v>
      </c>
      <c r="F307" s="162" t="s">
        <v>44</v>
      </c>
      <c r="G307" s="162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442</v>
      </c>
      <c r="E308" s="162" t="s">
        <v>306</v>
      </c>
      <c r="F308" s="162" t="s">
        <v>41</v>
      </c>
      <c r="G308" s="162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1">
        <v>718</v>
      </c>
      <c r="B309" s="1" t="str">
        <f t="shared" si="60"/>
        <v>3.05, Roller/Stubble 20'</v>
      </c>
      <c r="C309" s="166">
        <v>3.05</v>
      </c>
      <c r="D309" s="162" t="s">
        <v>442</v>
      </c>
      <c r="E309" s="162" t="s">
        <v>307</v>
      </c>
      <c r="F309" s="162" t="s">
        <v>8</v>
      </c>
      <c r="G309" s="162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1">
        <v>719</v>
      </c>
      <c r="B310" s="1" t="str">
        <f t="shared" si="60"/>
        <v>3.06, Roller/Stubble 32'</v>
      </c>
      <c r="C310" s="166">
        <v>3.06</v>
      </c>
      <c r="D310" s="162" t="s">
        <v>442</v>
      </c>
      <c r="E310" s="162" t="s">
        <v>307</v>
      </c>
      <c r="F310" s="162" t="s">
        <v>43</v>
      </c>
      <c r="G310" s="162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1">
        <v>485</v>
      </c>
      <c r="B311" s="1" t="str">
        <f t="shared" si="60"/>
        <v>3.07, Rotary Cutter  7'</v>
      </c>
      <c r="C311" s="166">
        <v>3.07</v>
      </c>
      <c r="D311" s="162" t="s">
        <v>442</v>
      </c>
      <c r="E311" s="162" t="s">
        <v>308</v>
      </c>
      <c r="F311" s="162" t="s">
        <v>42</v>
      </c>
      <c r="G311" s="162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1">
        <v>199</v>
      </c>
      <c r="B312" s="1" t="str">
        <f t="shared" si="60"/>
        <v>3.08, Rotary Cutter 12'</v>
      </c>
      <c r="C312" s="166">
        <v>3.08</v>
      </c>
      <c r="D312" s="162" t="s">
        <v>442</v>
      </c>
      <c r="E312" s="162" t="s">
        <v>308</v>
      </c>
      <c r="F312" s="162" t="s">
        <v>11</v>
      </c>
      <c r="G312" s="162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442</v>
      </c>
      <c r="E313" s="162" t="s">
        <v>309</v>
      </c>
      <c r="F313" s="162" t="s">
        <v>10</v>
      </c>
      <c r="G313" s="162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442</v>
      </c>
      <c r="E314" s="162" t="s">
        <v>309</v>
      </c>
      <c r="F314" s="162" t="s">
        <v>8</v>
      </c>
      <c r="G314" s="162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442</v>
      </c>
      <c r="E315" s="162" t="s">
        <v>310</v>
      </c>
      <c r="F315" s="162" t="s">
        <v>38</v>
      </c>
      <c r="G315" s="162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442</v>
      </c>
      <c r="E316" s="162" t="s">
        <v>310</v>
      </c>
      <c r="F316" s="162" t="s">
        <v>41</v>
      </c>
      <c r="G316" s="162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442</v>
      </c>
      <c r="E317" s="162" t="s">
        <v>311</v>
      </c>
      <c r="F317" s="162" t="s">
        <v>40</v>
      </c>
      <c r="G317" s="162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442</v>
      </c>
      <c r="E318" s="162" t="s">
        <v>311</v>
      </c>
      <c r="F318" s="162" t="s">
        <v>39</v>
      </c>
      <c r="G318" s="162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442</v>
      </c>
      <c r="E319" s="162" t="s">
        <v>311</v>
      </c>
      <c r="F319" s="162" t="s">
        <v>38</v>
      </c>
      <c r="G319" s="162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442</v>
      </c>
      <c r="E320" s="162" t="s">
        <v>312</v>
      </c>
      <c r="F320" s="162" t="s">
        <v>38</v>
      </c>
      <c r="G320" s="162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442</v>
      </c>
      <c r="E321" s="162" t="s">
        <v>312</v>
      </c>
      <c r="F321" s="162" t="s">
        <v>41</v>
      </c>
      <c r="G321" s="162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1">
        <v>177</v>
      </c>
      <c r="B322" s="1" t="str">
        <f t="shared" si="60"/>
        <v>3.18, Row Cond Rigid 13'</v>
      </c>
      <c r="C322" s="166">
        <v>3.18</v>
      </c>
      <c r="D322" s="162" t="s">
        <v>442</v>
      </c>
      <c r="E322" s="162" t="s">
        <v>313</v>
      </c>
      <c r="F322" s="162" t="s">
        <v>40</v>
      </c>
      <c r="G322" s="162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1">
        <v>178</v>
      </c>
      <c r="B323" s="1" t="str">
        <f t="shared" si="60"/>
        <v>3.19, Row Cond Rigid 21'</v>
      </c>
      <c r="C323" s="166">
        <v>3.19</v>
      </c>
      <c r="D323" s="162" t="s">
        <v>442</v>
      </c>
      <c r="E323" s="162" t="s">
        <v>313</v>
      </c>
      <c r="F323" s="162" t="s">
        <v>39</v>
      </c>
      <c r="G323" s="162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1">
        <v>179</v>
      </c>
      <c r="B324" s="1" t="str">
        <f t="shared" si="60"/>
        <v>3.2, Row Cond Rigid 26'</v>
      </c>
      <c r="C324" s="166">
        <v>3.2</v>
      </c>
      <c r="D324" s="162" t="s">
        <v>442</v>
      </c>
      <c r="E324" s="162" t="s">
        <v>313</v>
      </c>
      <c r="F324" s="162" t="s">
        <v>38</v>
      </c>
      <c r="G324" s="162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442</v>
      </c>
      <c r="E325" s="162" t="s">
        <v>476</v>
      </c>
      <c r="F325" s="162" t="s">
        <v>38</v>
      </c>
      <c r="G325" s="162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442</v>
      </c>
      <c r="E326" s="162" t="s">
        <v>476</v>
      </c>
      <c r="F326" s="162" t="s">
        <v>44</v>
      </c>
      <c r="G326" s="162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442</v>
      </c>
      <c r="E327" s="162" t="s">
        <v>476</v>
      </c>
      <c r="F327" s="162" t="s">
        <v>16</v>
      </c>
      <c r="G327" s="162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442</v>
      </c>
      <c r="E328" s="162" t="s">
        <v>477</v>
      </c>
      <c r="F328" s="162" t="s">
        <v>39</v>
      </c>
      <c r="G328" s="162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442</v>
      </c>
      <c r="E329" s="162" t="s">
        <v>477</v>
      </c>
      <c r="F329" s="162" t="s">
        <v>38</v>
      </c>
      <c r="G329" s="162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442</v>
      </c>
      <c r="E330" s="162" t="s">
        <v>314</v>
      </c>
      <c r="F330" s="162" t="s">
        <v>37</v>
      </c>
      <c r="G330" s="162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442</v>
      </c>
      <c r="E331" s="162" t="s">
        <v>315</v>
      </c>
      <c r="F331" s="162" t="s">
        <v>36</v>
      </c>
      <c r="G331" s="162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442</v>
      </c>
      <c r="E332" s="162" t="s">
        <v>316</v>
      </c>
      <c r="F332" s="162" t="s">
        <v>35</v>
      </c>
      <c r="G332" s="162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1">
        <v>733</v>
      </c>
      <c r="B333" s="1" t="str">
        <f t="shared" si="75"/>
        <v>3.29, Spray (ATV) 20'</v>
      </c>
      <c r="C333" s="166">
        <v>3.29</v>
      </c>
      <c r="D333" s="162" t="s">
        <v>442</v>
      </c>
      <c r="E333" s="162" t="s">
        <v>316</v>
      </c>
      <c r="F333" s="162" t="s">
        <v>8</v>
      </c>
      <c r="G333" s="162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442</v>
      </c>
      <c r="E334" s="162" t="s">
        <v>317</v>
      </c>
      <c r="F334" s="162" t="s">
        <v>29</v>
      </c>
      <c r="G334" s="162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442</v>
      </c>
      <c r="E335" s="162" t="s">
        <v>317</v>
      </c>
      <c r="F335" s="162" t="s">
        <v>26</v>
      </c>
      <c r="G335" s="162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442</v>
      </c>
      <c r="E336" s="162" t="s">
        <v>317</v>
      </c>
      <c r="F336" s="162" t="s">
        <v>34</v>
      </c>
      <c r="G336" s="162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442</v>
      </c>
      <c r="E337" s="162" t="s">
        <v>317</v>
      </c>
      <c r="F337" s="162" t="s">
        <v>33</v>
      </c>
      <c r="G337" s="162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442</v>
      </c>
      <c r="E338" s="162" t="s">
        <v>317</v>
      </c>
      <c r="F338" s="162" t="s">
        <v>32</v>
      </c>
      <c r="G338" s="162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442</v>
      </c>
      <c r="E339" s="162" t="s">
        <v>318</v>
      </c>
      <c r="F339" s="162" t="s">
        <v>31</v>
      </c>
      <c r="G339" s="162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442</v>
      </c>
      <c r="E340" s="162" t="s">
        <v>318</v>
      </c>
      <c r="F340" s="162" t="s">
        <v>30</v>
      </c>
      <c r="G340" s="162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442</v>
      </c>
      <c r="E341" s="162" t="s">
        <v>318</v>
      </c>
      <c r="F341" s="162" t="s">
        <v>29</v>
      </c>
      <c r="G341" s="162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442</v>
      </c>
      <c r="E342" s="162" t="s">
        <v>318</v>
      </c>
      <c r="F342" s="162" t="s">
        <v>28</v>
      </c>
      <c r="G342" s="162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442</v>
      </c>
      <c r="E343" s="162" t="s">
        <v>318</v>
      </c>
      <c r="F343" s="162" t="s">
        <v>27</v>
      </c>
      <c r="G343" s="162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442</v>
      </c>
      <c r="E344" s="162" t="s">
        <v>318</v>
      </c>
      <c r="F344" s="162" t="s">
        <v>26</v>
      </c>
      <c r="G344" s="162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442</v>
      </c>
      <c r="E345" s="162" t="s">
        <v>319</v>
      </c>
      <c r="F345" s="162" t="s">
        <v>17</v>
      </c>
      <c r="G345" s="16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442</v>
      </c>
      <c r="E346" s="162" t="s">
        <v>319</v>
      </c>
      <c r="F346" s="162" t="s">
        <v>16</v>
      </c>
      <c r="G346" s="16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442</v>
      </c>
      <c r="E347" s="162" t="s">
        <v>320</v>
      </c>
      <c r="F347" s="162" t="s">
        <v>17</v>
      </c>
      <c r="G347" s="162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442</v>
      </c>
      <c r="E348" s="162" t="s">
        <v>320</v>
      </c>
      <c r="F348" s="162" t="s">
        <v>16</v>
      </c>
      <c r="G348" s="162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442</v>
      </c>
      <c r="E349" s="162" t="s">
        <v>320</v>
      </c>
      <c r="F349" s="162" t="s">
        <v>15</v>
      </c>
      <c r="G349" s="162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442</v>
      </c>
      <c r="E350" s="162" t="s">
        <v>320</v>
      </c>
      <c r="F350" s="162" t="s">
        <v>14</v>
      </c>
      <c r="G350" s="162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442</v>
      </c>
      <c r="E351" s="162" t="s">
        <v>320</v>
      </c>
      <c r="F351" s="162" t="s">
        <v>13</v>
      </c>
      <c r="G351" s="162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442</v>
      </c>
      <c r="E352" s="162" t="s">
        <v>321</v>
      </c>
      <c r="F352" s="162" t="s">
        <v>25</v>
      </c>
      <c r="G352" s="162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442</v>
      </c>
      <c r="E353" s="162" t="s">
        <v>321</v>
      </c>
      <c r="F353" s="162" t="s">
        <v>194</v>
      </c>
      <c r="G353" s="162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442</v>
      </c>
      <c r="E354" s="162" t="s">
        <v>321</v>
      </c>
      <c r="F354" s="162" t="s">
        <v>6</v>
      </c>
      <c r="G354" s="162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442</v>
      </c>
      <c r="E355" s="162" t="s">
        <v>321</v>
      </c>
      <c r="F355" s="162" t="s">
        <v>195</v>
      </c>
      <c r="G355" s="16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442</v>
      </c>
      <c r="E356" s="162" t="s">
        <v>322</v>
      </c>
      <c r="F356" s="162" t="s">
        <v>25</v>
      </c>
      <c r="G356" s="162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442</v>
      </c>
      <c r="E357" s="162" t="s">
        <v>322</v>
      </c>
      <c r="F357" s="162" t="s">
        <v>194</v>
      </c>
      <c r="G357" s="162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442</v>
      </c>
      <c r="E358" s="162" t="s">
        <v>322</v>
      </c>
      <c r="F358" s="162" t="s">
        <v>24</v>
      </c>
      <c r="G358" s="16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442</v>
      </c>
      <c r="E359" s="162" t="s">
        <v>322</v>
      </c>
      <c r="F359" s="162" t="s">
        <v>23</v>
      </c>
      <c r="G359" s="162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442</v>
      </c>
      <c r="E360" s="162" t="s">
        <v>322</v>
      </c>
      <c r="F360" s="162" t="s">
        <v>6</v>
      </c>
      <c r="G360" s="162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442</v>
      </c>
      <c r="E361" s="162" t="s">
        <v>322</v>
      </c>
      <c r="F361" s="162" t="s">
        <v>198</v>
      </c>
      <c r="G361" s="162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442</v>
      </c>
      <c r="E362" s="162" t="s">
        <v>322</v>
      </c>
      <c r="F362" s="162" t="s">
        <v>195</v>
      </c>
      <c r="G362" s="162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442</v>
      </c>
      <c r="E363" s="162" t="s">
        <v>323</v>
      </c>
      <c r="F363" s="162" t="s">
        <v>15</v>
      </c>
      <c r="G363" s="162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442</v>
      </c>
      <c r="E364" s="162" t="s">
        <v>324</v>
      </c>
      <c r="F364" s="162" t="s">
        <v>22</v>
      </c>
      <c r="G364" s="162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442</v>
      </c>
      <c r="E365" s="162" t="s">
        <v>324</v>
      </c>
      <c r="F365" s="162" t="s">
        <v>21</v>
      </c>
      <c r="G365" s="162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442</v>
      </c>
      <c r="E366" s="162" t="s">
        <v>324</v>
      </c>
      <c r="F366" s="162" t="s">
        <v>20</v>
      </c>
      <c r="G366" s="162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442</v>
      </c>
      <c r="E367" s="162" t="s">
        <v>324</v>
      </c>
      <c r="F367" s="162" t="s">
        <v>19</v>
      </c>
      <c r="G367" s="16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442</v>
      </c>
      <c r="E368" s="162" t="s">
        <v>324</v>
      </c>
      <c r="F368" s="162" t="s">
        <v>18</v>
      </c>
      <c r="G368" s="162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442</v>
      </c>
      <c r="E369" s="162" t="s">
        <v>325</v>
      </c>
      <c r="F369" s="162" t="s">
        <v>8</v>
      </c>
      <c r="G369" s="162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1">
        <v>194</v>
      </c>
      <c r="B370" s="1" t="str">
        <f t="shared" si="75"/>
        <v>3.66, Spray (Spot) 27'</v>
      </c>
      <c r="C370" s="166">
        <v>3.66</v>
      </c>
      <c r="D370" s="162" t="s">
        <v>442</v>
      </c>
      <c r="E370" s="162" t="s">
        <v>326</v>
      </c>
      <c r="F370" s="162" t="s">
        <v>17</v>
      </c>
      <c r="G370" s="162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1">
        <v>195</v>
      </c>
      <c r="B371" s="1" t="str">
        <f t="shared" si="75"/>
        <v>3.67, Spray (Spot) 40'</v>
      </c>
      <c r="C371" s="166">
        <v>3.67</v>
      </c>
      <c r="D371" s="162" t="s">
        <v>442</v>
      </c>
      <c r="E371" s="162" t="s">
        <v>326</v>
      </c>
      <c r="F371" s="162" t="s">
        <v>16</v>
      </c>
      <c r="G371" s="162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1">
        <v>358</v>
      </c>
      <c r="B372" s="1" t="str">
        <f t="shared" si="75"/>
        <v>3.68, Spray (Spot) 50'</v>
      </c>
      <c r="C372" s="166">
        <v>3.68</v>
      </c>
      <c r="D372" s="162" t="s">
        <v>442</v>
      </c>
      <c r="E372" s="162" t="s">
        <v>326</v>
      </c>
      <c r="F372" s="162" t="s">
        <v>15</v>
      </c>
      <c r="G372" s="162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1">
        <v>359</v>
      </c>
      <c r="B373" s="1" t="str">
        <f t="shared" si="75"/>
        <v>3.69, Spray (Spot) 53'</v>
      </c>
      <c r="C373" s="166">
        <v>3.69</v>
      </c>
      <c r="D373" s="162" t="s">
        <v>442</v>
      </c>
      <c r="E373" s="162" t="s">
        <v>326</v>
      </c>
      <c r="F373" s="162" t="s">
        <v>14</v>
      </c>
      <c r="G373" s="162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1">
        <v>196</v>
      </c>
      <c r="B374" s="1" t="str">
        <f t="shared" si="75"/>
        <v>3.7, Spray (Spot) 60'</v>
      </c>
      <c r="C374" s="166">
        <v>3.7</v>
      </c>
      <c r="D374" s="162" t="s">
        <v>442</v>
      </c>
      <c r="E374" s="162" t="s">
        <v>326</v>
      </c>
      <c r="F374" s="162" t="s">
        <v>13</v>
      </c>
      <c r="G374" s="162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1"/>
      <c r="B375" s="1" t="str">
        <f t="shared" si="75"/>
        <v>3.71, ST Plant Rigid 6R-36</v>
      </c>
      <c r="C375" s="166">
        <v>3.71</v>
      </c>
      <c r="D375" s="162" t="s">
        <v>442</v>
      </c>
      <c r="E375" s="162" t="s">
        <v>423</v>
      </c>
      <c r="F375" s="162" t="s">
        <v>201</v>
      </c>
      <c r="G375" s="16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1"/>
      <c r="B376" s="1" t="str">
        <f t="shared" si="75"/>
        <v>3.72, ST Plant Rigid 8R-36</v>
      </c>
      <c r="C376" s="166">
        <v>3.72</v>
      </c>
      <c r="D376" s="162" t="s">
        <v>442</v>
      </c>
      <c r="E376" s="162" t="s">
        <v>423</v>
      </c>
      <c r="F376" s="162" t="s">
        <v>200</v>
      </c>
      <c r="G376" s="16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1">
        <v>693</v>
      </c>
      <c r="B377" s="1" t="str">
        <f t="shared" si="75"/>
        <v>3.73, Strip Till 12R-30</v>
      </c>
      <c r="C377" s="166">
        <v>3.73</v>
      </c>
      <c r="D377" s="162" t="s">
        <v>442</v>
      </c>
      <c r="E377" s="162" t="s">
        <v>327</v>
      </c>
      <c r="F377" s="162" t="s">
        <v>6</v>
      </c>
      <c r="G377" s="162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1">
        <v>202</v>
      </c>
      <c r="B378" s="1" t="str">
        <f t="shared" si="75"/>
        <v>3.74, Subsoiler 3 shank</v>
      </c>
      <c r="C378" s="166">
        <v>3.74</v>
      </c>
      <c r="D378" s="162" t="s">
        <v>442</v>
      </c>
      <c r="E378" s="162" t="s">
        <v>328</v>
      </c>
      <c r="F378" s="162" t="s">
        <v>5</v>
      </c>
      <c r="G378" s="162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1">
        <v>217</v>
      </c>
      <c r="B379" s="1" t="str">
        <f t="shared" si="75"/>
        <v>3.75, Subsoiler 4 shank</v>
      </c>
      <c r="C379" s="166">
        <v>3.75</v>
      </c>
      <c r="D379" s="162" t="s">
        <v>442</v>
      </c>
      <c r="E379" s="162" t="s">
        <v>328</v>
      </c>
      <c r="F379" s="162" t="s">
        <v>3</v>
      </c>
      <c r="G379" s="162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1">
        <v>203</v>
      </c>
      <c r="B380" s="1" t="str">
        <f t="shared" si="75"/>
        <v>3.76, Subsoiler 5 shank</v>
      </c>
      <c r="C380" s="166">
        <v>3.76</v>
      </c>
      <c r="D380" s="162" t="s">
        <v>442</v>
      </c>
      <c r="E380" s="162" t="s">
        <v>328</v>
      </c>
      <c r="F380" s="162" t="s">
        <v>4</v>
      </c>
      <c r="G380" s="162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442</v>
      </c>
      <c r="E381" s="162" t="s">
        <v>329</v>
      </c>
      <c r="F381" s="162" t="s">
        <v>3</v>
      </c>
      <c r="G381" s="16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442</v>
      </c>
      <c r="E382" s="162" t="s">
        <v>329</v>
      </c>
      <c r="F382" s="162" t="s">
        <v>2</v>
      </c>
      <c r="G382" s="162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442</v>
      </c>
      <c r="E383" s="162" t="s">
        <v>329</v>
      </c>
      <c r="F383" s="162" t="s">
        <v>1</v>
      </c>
      <c r="G383" s="162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2"/>
    </row>
    <row r="385" spans="1:32" x14ac:dyDescent="0.2">
      <c r="D385" s="162"/>
    </row>
    <row r="386" spans="1:32" x14ac:dyDescent="0.2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442</v>
      </c>
      <c r="E386" s="162" t="s">
        <v>330</v>
      </c>
      <c r="F386" s="162" t="s">
        <v>222</v>
      </c>
      <c r="G386" s="162" t="str">
        <f t="shared" ref="G386:G417" si="91">CONCATENATE(E386,F386)</f>
        <v>Boll Buggy 4R-30 (250)</v>
      </c>
      <c r="H386" s="24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442</v>
      </c>
      <c r="E387" s="162" t="s">
        <v>330</v>
      </c>
      <c r="F387" s="162" t="s">
        <v>346</v>
      </c>
      <c r="G387" s="162" t="str">
        <f t="shared" si="91"/>
        <v>Boll Buggy 4R-30 (325)</v>
      </c>
      <c r="H387" s="24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442</v>
      </c>
      <c r="E388" s="162" t="s">
        <v>330</v>
      </c>
      <c r="F388" s="162" t="s">
        <v>223</v>
      </c>
      <c r="G388" s="162" t="str">
        <f t="shared" si="91"/>
        <v>Boll Buggy 4R-36 (255)</v>
      </c>
      <c r="H388" s="24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442</v>
      </c>
      <c r="E389" s="162" t="s">
        <v>330</v>
      </c>
      <c r="F389" s="162" t="s">
        <v>348</v>
      </c>
      <c r="G389" s="162" t="str">
        <f t="shared" si="91"/>
        <v>Boll Buggy 4R-36 (325)</v>
      </c>
      <c r="H389" s="24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442</v>
      </c>
      <c r="E390" s="162" t="s">
        <v>330</v>
      </c>
      <c r="F390" s="162" t="s">
        <v>347</v>
      </c>
      <c r="G390" s="162" t="str">
        <f t="shared" si="91"/>
        <v>Boll Buggy 5R-30 (255)</v>
      </c>
      <c r="H390" s="24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442</v>
      </c>
      <c r="E391" s="162" t="s">
        <v>330</v>
      </c>
      <c r="F391" s="162" t="s">
        <v>349</v>
      </c>
      <c r="G391" s="162" t="str">
        <f t="shared" si="91"/>
        <v>Boll Buggy 6R-30 (325)</v>
      </c>
      <c r="H391" s="24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442</v>
      </c>
      <c r="E392" s="162" t="s">
        <v>330</v>
      </c>
      <c r="F392" s="162" t="s">
        <v>225</v>
      </c>
      <c r="G392" s="162" t="str">
        <f t="shared" si="91"/>
        <v>Boll Buggy 5R-36 (250)</v>
      </c>
      <c r="H392" s="24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442</v>
      </c>
      <c r="E393" s="162" t="s">
        <v>330</v>
      </c>
      <c r="F393" s="162" t="s">
        <v>226</v>
      </c>
      <c r="G393" s="162" t="str">
        <f t="shared" si="91"/>
        <v>Boll Buggy 4R2x1 (350)</v>
      </c>
      <c r="H393" s="24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442</v>
      </c>
      <c r="E394" s="162" t="s">
        <v>330</v>
      </c>
      <c r="F394" s="162" t="s">
        <v>350</v>
      </c>
      <c r="G394" s="162" t="str">
        <f t="shared" si="91"/>
        <v>Boll Buggy 6R-36 (330)</v>
      </c>
      <c r="H394" s="24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442</v>
      </c>
      <c r="E395" s="162" t="s">
        <v>331</v>
      </c>
      <c r="F395" s="162" t="s">
        <v>73</v>
      </c>
      <c r="G395" s="162" t="str">
        <f t="shared" si="91"/>
        <v>Boll Buggy-Stripper 4R-36</v>
      </c>
      <c r="H395" s="24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442</v>
      </c>
      <c r="E396" s="162" t="s">
        <v>331</v>
      </c>
      <c r="F396" s="162" t="s">
        <v>73</v>
      </c>
      <c r="G396" s="162" t="str">
        <f t="shared" si="91"/>
        <v>Boll Buggy-Stripper 4R-36</v>
      </c>
      <c r="H396" s="24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442</v>
      </c>
      <c r="E397" s="162" t="s">
        <v>331</v>
      </c>
      <c r="F397" s="162" t="s">
        <v>72</v>
      </c>
      <c r="G397" s="162" t="str">
        <f t="shared" si="91"/>
        <v>Boll Buggy-Stripper 5R-30</v>
      </c>
      <c r="H397" s="24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442</v>
      </c>
      <c r="E398" s="162" t="s">
        <v>331</v>
      </c>
      <c r="F398" s="162" t="s">
        <v>71</v>
      </c>
      <c r="G398" s="162" t="str">
        <f t="shared" si="91"/>
        <v>Boll Buggy-Stripper 13' Bcast</v>
      </c>
      <c r="H398" s="24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442</v>
      </c>
      <c r="E399" s="162" t="s">
        <v>331</v>
      </c>
      <c r="F399" s="162" t="s">
        <v>70</v>
      </c>
      <c r="G399" s="162" t="str">
        <f t="shared" si="91"/>
        <v>Boll Buggy-Stripper 4R-30 2x1</v>
      </c>
      <c r="H399" s="24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442</v>
      </c>
      <c r="E400" s="162" t="s">
        <v>331</v>
      </c>
      <c r="F400" s="162" t="s">
        <v>47</v>
      </c>
      <c r="G400" s="162" t="str">
        <f t="shared" si="91"/>
        <v>Boll Buggy-Stripper 6R-30</v>
      </c>
      <c r="H400" s="24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442</v>
      </c>
      <c r="E401" s="162" t="s">
        <v>331</v>
      </c>
      <c r="F401" s="162" t="s">
        <v>202</v>
      </c>
      <c r="G401" s="162" t="str">
        <f t="shared" si="91"/>
        <v>Boll Buggy-Stripper 5R-36</v>
      </c>
      <c r="H401" s="24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442</v>
      </c>
      <c r="E402" s="162" t="s">
        <v>331</v>
      </c>
      <c r="F402" s="162" t="s">
        <v>69</v>
      </c>
      <c r="G402" s="162" t="str">
        <f t="shared" si="91"/>
        <v>Boll Buggy-Stripper 16' Bcast</v>
      </c>
      <c r="H402" s="24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442</v>
      </c>
      <c r="E403" s="162" t="s">
        <v>331</v>
      </c>
      <c r="F403" s="162" t="s">
        <v>203</v>
      </c>
      <c r="G403" s="162" t="str">
        <f t="shared" si="91"/>
        <v>Boll Buggy-Stripper 4R-36 2x1</v>
      </c>
      <c r="H403" s="24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442</v>
      </c>
      <c r="E404" s="162" t="s">
        <v>331</v>
      </c>
      <c r="F404" s="162" t="s">
        <v>201</v>
      </c>
      <c r="G404" s="162" t="str">
        <f t="shared" si="91"/>
        <v>Boll Buggy-Stripper 6R-36</v>
      </c>
      <c r="H404" s="24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442</v>
      </c>
      <c r="E405" s="162" t="s">
        <v>331</v>
      </c>
      <c r="F405" s="162" t="s">
        <v>68</v>
      </c>
      <c r="G405" s="162" t="str">
        <f t="shared" si="91"/>
        <v>Boll Buggy-Stripper 19' Bcast</v>
      </c>
      <c r="H405" s="24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442</v>
      </c>
      <c r="E406" s="162" t="s">
        <v>331</v>
      </c>
      <c r="F406" s="162" t="s">
        <v>91</v>
      </c>
      <c r="G406" s="162" t="str">
        <f t="shared" si="91"/>
        <v>Boll Buggy-Stripper 8R-30</v>
      </c>
      <c r="H406" s="24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442</v>
      </c>
      <c r="E407" s="162" t="s">
        <v>331</v>
      </c>
      <c r="F407" s="162" t="s">
        <v>200</v>
      </c>
      <c r="G407" s="162" t="str">
        <f t="shared" si="91"/>
        <v>Boll Buggy-Stripper 8R-36</v>
      </c>
      <c r="H407" s="24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442</v>
      </c>
      <c r="E408" s="162" t="s">
        <v>332</v>
      </c>
      <c r="F408" s="162" t="s">
        <v>85</v>
      </c>
      <c r="G408" s="162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442</v>
      </c>
      <c r="E409" s="162" t="s">
        <v>332</v>
      </c>
      <c r="F409" s="162" t="s">
        <v>84</v>
      </c>
      <c r="G409" s="162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442</v>
      </c>
      <c r="E410" s="162" t="s">
        <v>332</v>
      </c>
      <c r="F410" s="162" t="s">
        <v>83</v>
      </c>
      <c r="G410" s="162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442</v>
      </c>
      <c r="E411" s="162" t="s">
        <v>333</v>
      </c>
      <c r="F411" s="162" t="s">
        <v>85</v>
      </c>
      <c r="G411" s="162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442</v>
      </c>
      <c r="E412" s="162" t="s">
        <v>333</v>
      </c>
      <c r="F412" s="162" t="s">
        <v>84</v>
      </c>
      <c r="G412" s="162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442</v>
      </c>
      <c r="E413" s="162" t="s">
        <v>333</v>
      </c>
      <c r="F413" s="162" t="s">
        <v>83</v>
      </c>
      <c r="G413" s="162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442</v>
      </c>
      <c r="E414" s="162" t="s">
        <v>334</v>
      </c>
      <c r="F414" s="162" t="s">
        <v>85</v>
      </c>
      <c r="G414" s="162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442</v>
      </c>
      <c r="E415" s="162" t="s">
        <v>334</v>
      </c>
      <c r="F415" s="162" t="s">
        <v>84</v>
      </c>
      <c r="G415" s="162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442</v>
      </c>
      <c r="E416" s="162" t="s">
        <v>334</v>
      </c>
      <c r="F416" s="162" t="s">
        <v>83</v>
      </c>
      <c r="G416" s="162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442</v>
      </c>
      <c r="E417" s="162" t="s">
        <v>335</v>
      </c>
      <c r="F417" s="162" t="s">
        <v>53</v>
      </c>
      <c r="G417" s="162" t="str">
        <f t="shared" si="91"/>
        <v>Header - Corn  6R-30</v>
      </c>
      <c r="H417" s="246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442</v>
      </c>
      <c r="E418" s="162" t="s">
        <v>335</v>
      </c>
      <c r="F418" s="162" t="s">
        <v>197</v>
      </c>
      <c r="G418" s="162" t="str">
        <f t="shared" ref="G418:G449" si="107">CONCATENATE(E418,F418)</f>
        <v>Header - Corn  6R-36</v>
      </c>
      <c r="H418" s="246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442</v>
      </c>
      <c r="E419" s="162" t="s">
        <v>335</v>
      </c>
      <c r="F419" s="162" t="s">
        <v>25</v>
      </c>
      <c r="G419" s="162" t="str">
        <f t="shared" si="107"/>
        <v>Header - Corn  8R-30</v>
      </c>
      <c r="H419" s="246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442</v>
      </c>
      <c r="E420" s="162" t="s">
        <v>335</v>
      </c>
      <c r="F420" s="162" t="s">
        <v>50</v>
      </c>
      <c r="G420" s="162" t="str">
        <f t="shared" si="107"/>
        <v>Header - Corn 12R-20</v>
      </c>
      <c r="H420" s="246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442</v>
      </c>
      <c r="E421" s="162" t="s">
        <v>335</v>
      </c>
      <c r="F421" s="162" t="s">
        <v>194</v>
      </c>
      <c r="G421" s="162" t="str">
        <f t="shared" si="107"/>
        <v>Header - Corn  8R-36</v>
      </c>
      <c r="H421" s="246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442</v>
      </c>
      <c r="E422" s="162" t="s">
        <v>335</v>
      </c>
      <c r="F422" s="162" t="s">
        <v>6</v>
      </c>
      <c r="G422" s="162" t="str">
        <f t="shared" si="107"/>
        <v>Header - Corn 12R-30</v>
      </c>
      <c r="H422" s="246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442</v>
      </c>
      <c r="E423" s="162" t="s">
        <v>336</v>
      </c>
      <c r="F423" s="162" t="s">
        <v>482</v>
      </c>
      <c r="G423" s="162" t="str">
        <f t="shared" si="107"/>
        <v>Header -Soybean 18' Flex</v>
      </c>
      <c r="H423" s="246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1">
        <v>431</v>
      </c>
      <c r="B424" s="1" t="str">
        <f t="shared" si="106"/>
        <v>0.39, Header -Soybean 24' Flex</v>
      </c>
      <c r="C424" s="166">
        <v>0.39</v>
      </c>
      <c r="D424" s="162" t="s">
        <v>442</v>
      </c>
      <c r="E424" s="162" t="s">
        <v>336</v>
      </c>
      <c r="F424" s="162" t="s">
        <v>518</v>
      </c>
      <c r="G424" s="162" t="str">
        <f t="shared" si="107"/>
        <v>Header -Soybean 24' Flex</v>
      </c>
      <c r="H424" s="246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442</v>
      </c>
      <c r="E425" s="162" t="s">
        <v>336</v>
      </c>
      <c r="F425" s="162" t="s">
        <v>78</v>
      </c>
      <c r="G425" s="162" t="str">
        <f t="shared" si="107"/>
        <v>Header -Soybean 30' Flex</v>
      </c>
      <c r="H425" s="246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1">
        <v>592</v>
      </c>
      <c r="B426" s="1" t="str">
        <f t="shared" si="106"/>
        <v>0.41, Header -Soybean 36' Flex</v>
      </c>
      <c r="C426" s="166">
        <v>0.41</v>
      </c>
      <c r="D426" s="162" t="s">
        <v>442</v>
      </c>
      <c r="E426" s="162" t="s">
        <v>336</v>
      </c>
      <c r="F426" s="162" t="s">
        <v>519</v>
      </c>
      <c r="G426" s="162" t="str">
        <f t="shared" si="107"/>
        <v>Header -Soybean 36' Flex</v>
      </c>
      <c r="H426" s="246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442</v>
      </c>
      <c r="E427" s="162" t="s">
        <v>337</v>
      </c>
      <c r="F427" s="162" t="s">
        <v>483</v>
      </c>
      <c r="G427" s="162" t="str">
        <f t="shared" si="107"/>
        <v>Header Wheat/Sorghum 18' Rigid</v>
      </c>
      <c r="H427" s="246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1">
        <v>429</v>
      </c>
      <c r="B428" s="1" t="str">
        <f t="shared" si="106"/>
        <v>0.43, Header Wheat/Sorghum 24' Rigid</v>
      </c>
      <c r="C428" s="166">
        <v>0.43</v>
      </c>
      <c r="D428" s="162" t="s">
        <v>442</v>
      </c>
      <c r="E428" s="162" t="s">
        <v>337</v>
      </c>
      <c r="F428" s="162" t="s">
        <v>520</v>
      </c>
      <c r="G428" s="162" t="str">
        <f t="shared" si="107"/>
        <v>Header Wheat/Sorghum 24' Rigid</v>
      </c>
      <c r="H428" s="246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442</v>
      </c>
      <c r="E429" s="162" t="s">
        <v>337</v>
      </c>
      <c r="F429" s="162" t="s">
        <v>77</v>
      </c>
      <c r="G429" s="162" t="str">
        <f t="shared" si="107"/>
        <v>Header Wheat/Sorghum 30' Rigid</v>
      </c>
      <c r="H429" s="246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442</v>
      </c>
      <c r="E430" s="162" t="s">
        <v>338</v>
      </c>
      <c r="F430" s="162" t="s">
        <v>222</v>
      </c>
      <c r="G430" s="162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442</v>
      </c>
      <c r="E431" s="162" t="s">
        <v>338</v>
      </c>
      <c r="F431" s="162" t="s">
        <v>346</v>
      </c>
      <c r="G431" s="162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442</v>
      </c>
      <c r="E432" s="162" t="s">
        <v>338</v>
      </c>
      <c r="F432" s="162" t="s">
        <v>223</v>
      </c>
      <c r="G432" s="162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442</v>
      </c>
      <c r="E433" s="162" t="s">
        <v>338</v>
      </c>
      <c r="F433" s="162" t="s">
        <v>348</v>
      </c>
      <c r="G433" s="162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442</v>
      </c>
      <c r="E434" s="162" t="s">
        <v>338</v>
      </c>
      <c r="F434" s="162" t="s">
        <v>347</v>
      </c>
      <c r="G434" s="162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442</v>
      </c>
      <c r="E435" s="162" t="s">
        <v>338</v>
      </c>
      <c r="F435" s="162" t="s">
        <v>349</v>
      </c>
      <c r="G435" s="162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442</v>
      </c>
      <c r="E436" s="162" t="s">
        <v>338</v>
      </c>
      <c r="F436" s="162" t="s">
        <v>225</v>
      </c>
      <c r="G436" s="162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442</v>
      </c>
      <c r="E437" s="162" t="s">
        <v>338</v>
      </c>
      <c r="F437" s="162" t="s">
        <v>226</v>
      </c>
      <c r="G437" s="162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442</v>
      </c>
      <c r="E438" s="162" t="s">
        <v>338</v>
      </c>
      <c r="F438" s="162" t="s">
        <v>350</v>
      </c>
      <c r="G438" s="162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442</v>
      </c>
      <c r="E439" s="162" t="s">
        <v>339</v>
      </c>
      <c r="F439" s="162" t="s">
        <v>73</v>
      </c>
      <c r="G439" s="162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442</v>
      </c>
      <c r="E440" s="162" t="s">
        <v>339</v>
      </c>
      <c r="F440" s="162" t="s">
        <v>73</v>
      </c>
      <c r="G440" s="162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442</v>
      </c>
      <c r="E441" s="162" t="s">
        <v>339</v>
      </c>
      <c r="F441" s="162" t="s">
        <v>72</v>
      </c>
      <c r="G441" s="162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442</v>
      </c>
      <c r="E442" s="162" t="s">
        <v>339</v>
      </c>
      <c r="F442" s="162" t="s">
        <v>71</v>
      </c>
      <c r="G442" s="162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442</v>
      </c>
      <c r="E443" s="162" t="s">
        <v>339</v>
      </c>
      <c r="F443" s="162" t="s">
        <v>70</v>
      </c>
      <c r="G443" s="162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442</v>
      </c>
      <c r="E444" s="162" t="s">
        <v>339</v>
      </c>
      <c r="F444" s="162" t="s">
        <v>47</v>
      </c>
      <c r="G444" s="162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442</v>
      </c>
      <c r="E445" s="162" t="s">
        <v>339</v>
      </c>
      <c r="F445" s="162" t="s">
        <v>202</v>
      </c>
      <c r="G445" s="162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442</v>
      </c>
      <c r="E446" s="162" t="s">
        <v>339</v>
      </c>
      <c r="F446" s="162" t="s">
        <v>69</v>
      </c>
      <c r="G446" s="162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442</v>
      </c>
      <c r="E447" s="162" t="s">
        <v>339</v>
      </c>
      <c r="F447" s="162" t="s">
        <v>203</v>
      </c>
      <c r="G447" s="162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442</v>
      </c>
      <c r="E448" s="162" t="s">
        <v>339</v>
      </c>
      <c r="F448" s="162" t="s">
        <v>201</v>
      </c>
      <c r="G448" s="162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442</v>
      </c>
      <c r="E449" s="162" t="s">
        <v>339</v>
      </c>
      <c r="F449" s="162" t="s">
        <v>68</v>
      </c>
      <c r="G449" s="162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442</v>
      </c>
      <c r="E450" s="162" t="s">
        <v>339</v>
      </c>
      <c r="F450" s="162" t="s">
        <v>200</v>
      </c>
      <c r="G450" s="162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442</v>
      </c>
      <c r="E451" s="162" t="s">
        <v>340</v>
      </c>
      <c r="F451" s="162" t="s">
        <v>46</v>
      </c>
      <c r="G451" s="162" t="str">
        <f t="shared" si="122"/>
        <v>Peanut Cond. &amp; Lifter 6-Row</v>
      </c>
      <c r="H451" s="30">
        <v>12900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442</v>
      </c>
      <c r="E452" s="162" t="s">
        <v>341</v>
      </c>
      <c r="F452" s="162" t="s">
        <v>46</v>
      </c>
      <c r="G452" s="162" t="str">
        <f t="shared" si="122"/>
        <v>Peanut Conditioner 6-Row</v>
      </c>
      <c r="H452" s="30">
        <v>14900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442</v>
      </c>
      <c r="E453" s="162" t="s">
        <v>440</v>
      </c>
      <c r="F453" s="162" t="s">
        <v>0</v>
      </c>
      <c r="G453" s="162" t="str">
        <f t="shared" si="122"/>
        <v>Peanut Dig/Inverter 4R-30</v>
      </c>
      <c r="H453" s="30">
        <v>29000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442</v>
      </c>
      <c r="E454" s="162" t="s">
        <v>440</v>
      </c>
      <c r="F454" s="162" t="s">
        <v>73</v>
      </c>
      <c r="G454" s="162" t="str">
        <f t="shared" si="122"/>
        <v>Peanut Dig/Inverter 4R-36</v>
      </c>
      <c r="H454" s="30">
        <v>29000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442</v>
      </c>
      <c r="E455" s="162" t="s">
        <v>440</v>
      </c>
      <c r="F455" s="162" t="s">
        <v>201</v>
      </c>
      <c r="G455" s="162" t="str">
        <f t="shared" si="122"/>
        <v>Peanut Dig/Inverter 6R-36</v>
      </c>
      <c r="H455" s="30">
        <v>42100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442</v>
      </c>
      <c r="E456" s="162" t="s">
        <v>342</v>
      </c>
      <c r="F456" s="162" t="s">
        <v>46</v>
      </c>
      <c r="G456" s="162" t="str">
        <f t="shared" si="122"/>
        <v>Peanut Dump Cart 6-Row</v>
      </c>
      <c r="H456" s="30">
        <v>47500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442</v>
      </c>
      <c r="E457" s="162" t="s">
        <v>343</v>
      </c>
      <c r="F457" s="162" t="s">
        <v>46</v>
      </c>
      <c r="G457" s="162" t="str">
        <f t="shared" si="122"/>
        <v>Peanut Lifter 6-Row</v>
      </c>
      <c r="H457" s="30">
        <v>6300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1"/>
      <c r="B458" s="1" t="str">
        <f t="shared" si="121"/>
        <v>0.73, Peanut Wagon 14'</v>
      </c>
      <c r="C458" s="166">
        <v>0.73</v>
      </c>
      <c r="D458" s="162" t="s">
        <v>442</v>
      </c>
      <c r="E458" s="162" t="s">
        <v>437</v>
      </c>
      <c r="F458" s="162" t="s">
        <v>12</v>
      </c>
      <c r="G458" s="162" t="str">
        <f t="shared" si="122"/>
        <v>Peanut Wagon 14'</v>
      </c>
      <c r="H458" s="30">
        <v>4800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1"/>
      <c r="B459" s="1" t="str">
        <f t="shared" si="121"/>
        <v>0.74, Peanut Wagon 21'</v>
      </c>
      <c r="C459" s="166">
        <v>0.74</v>
      </c>
      <c r="D459" s="162" t="s">
        <v>442</v>
      </c>
      <c r="E459" s="162" t="s">
        <v>437</v>
      </c>
      <c r="F459" s="162" t="s">
        <v>39</v>
      </c>
      <c r="G459" s="162" t="str">
        <f t="shared" si="122"/>
        <v>Peanut Wagon 21'</v>
      </c>
      <c r="H459" s="30">
        <v>7200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1"/>
      <c r="B460" s="1" t="str">
        <f t="shared" si="121"/>
        <v>0.75, Peanut Wagon 28'</v>
      </c>
      <c r="C460" s="166">
        <v>0.75</v>
      </c>
      <c r="D460" s="162" t="s">
        <v>442</v>
      </c>
      <c r="E460" s="162" t="s">
        <v>437</v>
      </c>
      <c r="F460" s="162" t="s">
        <v>87</v>
      </c>
      <c r="G460" s="162" t="str">
        <f t="shared" si="122"/>
        <v>Peanut Wagon 28'</v>
      </c>
      <c r="H460" s="30">
        <v>8600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1"/>
      <c r="B461" s="1" t="str">
        <f t="shared" si="121"/>
        <v>0.76, Pull-type Peanut Combine 2R-36</v>
      </c>
      <c r="C461" s="166">
        <v>0.76</v>
      </c>
      <c r="D461" s="162" t="s">
        <v>442</v>
      </c>
      <c r="E461" s="162" t="s">
        <v>438</v>
      </c>
      <c r="F461" s="162" t="s">
        <v>439</v>
      </c>
      <c r="G461" s="162" t="str">
        <f t="shared" si="122"/>
        <v>Pull-type Peanut Combine 2R-36</v>
      </c>
      <c r="H461" s="30">
        <v>50000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1"/>
      <c r="B462" s="1" t="str">
        <f t="shared" si="121"/>
        <v>0.77, Pull-type Peanut Combine 4R-36</v>
      </c>
      <c r="C462" s="166">
        <v>0.77</v>
      </c>
      <c r="D462" s="162" t="s">
        <v>442</v>
      </c>
      <c r="E462" s="162" t="s">
        <v>438</v>
      </c>
      <c r="F462" s="162" t="s">
        <v>73</v>
      </c>
      <c r="G462" s="162" t="str">
        <f t="shared" si="122"/>
        <v>Pull-type Peanut Combine 4R-36</v>
      </c>
      <c r="H462" s="30">
        <v>133000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1"/>
      <c r="B463" s="1" t="str">
        <f t="shared" si="121"/>
        <v>0.78, Pull-type Peanut Combine 6R-36</v>
      </c>
      <c r="C463" s="166">
        <v>0.78</v>
      </c>
      <c r="D463" s="162" t="s">
        <v>442</v>
      </c>
      <c r="E463" s="162" t="s">
        <v>438</v>
      </c>
      <c r="F463" s="162" t="s">
        <v>201</v>
      </c>
      <c r="G463" s="162" t="str">
        <f t="shared" si="122"/>
        <v>Pull-type Peanut Combine 6R-36</v>
      </c>
      <c r="H463" s="30">
        <v>137000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442</v>
      </c>
      <c r="E464" s="162" t="s">
        <v>344</v>
      </c>
      <c r="F464" s="162" t="s">
        <v>12</v>
      </c>
      <c r="G464" s="162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1">
        <v>267</v>
      </c>
      <c r="B465" s="1" t="str">
        <f t="shared" si="121"/>
        <v>0.8, Stalk Shredder 20'</v>
      </c>
      <c r="C465" s="166">
        <v>0.8</v>
      </c>
      <c r="D465" s="162" t="s">
        <v>442</v>
      </c>
      <c r="E465" s="162" t="s">
        <v>344</v>
      </c>
      <c r="F465" s="162" t="s">
        <v>8</v>
      </c>
      <c r="G465" s="16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442</v>
      </c>
      <c r="E466" s="162" t="s">
        <v>345</v>
      </c>
      <c r="F466" s="162" t="s">
        <v>11</v>
      </c>
      <c r="G466" s="162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442</v>
      </c>
      <c r="E467" s="162" t="s">
        <v>345</v>
      </c>
      <c r="F467" s="162" t="s">
        <v>10</v>
      </c>
      <c r="G467" s="162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442</v>
      </c>
      <c r="E468" s="162" t="s">
        <v>345</v>
      </c>
      <c r="F468" s="162" t="s">
        <v>9</v>
      </c>
      <c r="G468" s="162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442</v>
      </c>
      <c r="E469" s="162" t="s">
        <v>345</v>
      </c>
      <c r="F469" s="162" t="s">
        <v>8</v>
      </c>
      <c r="G469" s="162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442</v>
      </c>
      <c r="E470" s="162" t="s">
        <v>345</v>
      </c>
      <c r="F470" s="162" t="s">
        <v>7</v>
      </c>
      <c r="G470" s="162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2"/>
    </row>
    <row r="472" spans="1:32" x14ac:dyDescent="0.2">
      <c r="D472" s="162"/>
    </row>
    <row r="473" spans="1:32" x14ac:dyDescent="0.2">
      <c r="D473" s="162"/>
    </row>
    <row r="474" spans="1:32" x14ac:dyDescent="0.2">
      <c r="D474" s="162"/>
    </row>
    <row r="475" spans="1:32" x14ac:dyDescent="0.2">
      <c r="D475" s="162"/>
    </row>
    <row r="476" spans="1:32" x14ac:dyDescent="0.2">
      <c r="D476" s="162"/>
    </row>
    <row r="477" spans="1:32" x14ac:dyDescent="0.2">
      <c r="D477" s="162"/>
    </row>
    <row r="478" spans="1:32" x14ac:dyDescent="0.2">
      <c r="D478" s="162"/>
    </row>
    <row r="479" spans="1:32" x14ac:dyDescent="0.2">
      <c r="D479" s="162"/>
    </row>
    <row r="480" spans="1:32" x14ac:dyDescent="0.2">
      <c r="D480" s="162"/>
    </row>
    <row r="481" spans="4:4" x14ac:dyDescent="0.2">
      <c r="D481" s="162"/>
    </row>
    <row r="482" spans="4:4" x14ac:dyDescent="0.2">
      <c r="D482" s="162"/>
    </row>
    <row r="483" spans="4:4" x14ac:dyDescent="0.2">
      <c r="D483" s="162"/>
    </row>
    <row r="484" spans="4:4" x14ac:dyDescent="0.2">
      <c r="D484" s="162"/>
    </row>
    <row r="485" spans="4:4" x14ac:dyDescent="0.2">
      <c r="D485" s="162"/>
    </row>
    <row r="486" spans="4:4" x14ac:dyDescent="0.2">
      <c r="D486" s="162"/>
    </row>
    <row r="487" spans="4:4" x14ac:dyDescent="0.2">
      <c r="D487" s="162"/>
    </row>
    <row r="488" spans="4:4" x14ac:dyDescent="0.2">
      <c r="D488" s="162"/>
    </row>
    <row r="489" spans="4:4" x14ac:dyDescent="0.2">
      <c r="D489" s="162"/>
    </row>
    <row r="490" spans="4:4" x14ac:dyDescent="0.2">
      <c r="D490" s="162"/>
    </row>
    <row r="491" spans="4:4" x14ac:dyDescent="0.2">
      <c r="D491" s="162"/>
    </row>
    <row r="492" spans="4:4" x14ac:dyDescent="0.2">
      <c r="D492" s="162"/>
    </row>
    <row r="510" spans="4:4" x14ac:dyDescent="0.2">
      <c r="D510" s="166" t="s">
        <v>63</v>
      </c>
    </row>
    <row r="511" spans="4:4" x14ac:dyDescent="0.2">
      <c r="D511" s="166" t="s">
        <v>63</v>
      </c>
    </row>
    <row r="512" spans="4:4" x14ac:dyDescent="0.2">
      <c r="D512" s="166" t="s">
        <v>63</v>
      </c>
    </row>
    <row r="513" spans="4:4" x14ac:dyDescent="0.2">
      <c r="D513" s="166" t="s">
        <v>63</v>
      </c>
    </row>
    <row r="514" spans="4:4" x14ac:dyDescent="0.2">
      <c r="D514" s="166" t="s">
        <v>63</v>
      </c>
    </row>
    <row r="515" spans="4:4" x14ac:dyDescent="0.2">
      <c r="D515" s="166" t="s">
        <v>63</v>
      </c>
    </row>
    <row r="516" spans="4:4" x14ac:dyDescent="0.2">
      <c r="D516" s="166" t="s">
        <v>63</v>
      </c>
    </row>
    <row r="517" spans="4:4" x14ac:dyDescent="0.2">
      <c r="D517" s="166" t="s">
        <v>63</v>
      </c>
    </row>
    <row r="518" spans="4:4" x14ac:dyDescent="0.2">
      <c r="D518" s="166" t="s">
        <v>63</v>
      </c>
    </row>
    <row r="519" spans="4:4" x14ac:dyDescent="0.2">
      <c r="D519" s="166" t="s">
        <v>63</v>
      </c>
    </row>
    <row r="520" spans="4:4" x14ac:dyDescent="0.2">
      <c r="D520" s="166" t="s">
        <v>63</v>
      </c>
    </row>
    <row r="521" spans="4:4" x14ac:dyDescent="0.2">
      <c r="D521" s="166" t="s">
        <v>63</v>
      </c>
    </row>
    <row r="522" spans="4:4" x14ac:dyDescent="0.2">
      <c r="D522" s="166" t="s">
        <v>63</v>
      </c>
    </row>
    <row r="523" spans="4:4" x14ac:dyDescent="0.2">
      <c r="D523" s="166" t="s">
        <v>63</v>
      </c>
    </row>
    <row r="524" spans="4:4" x14ac:dyDescent="0.2">
      <c r="D524" s="166" t="s">
        <v>63</v>
      </c>
    </row>
    <row r="525" spans="4:4" x14ac:dyDescent="0.2">
      <c r="D525" s="166" t="s">
        <v>63</v>
      </c>
    </row>
    <row r="526" spans="4:4" x14ac:dyDescent="0.2">
      <c r="D526" s="166" t="s">
        <v>63</v>
      </c>
    </row>
    <row r="527" spans="4:4" x14ac:dyDescent="0.2">
      <c r="D527" s="166" t="s">
        <v>63</v>
      </c>
    </row>
    <row r="528" spans="4:4" x14ac:dyDescent="0.2">
      <c r="D528" s="166" t="s">
        <v>63</v>
      </c>
    </row>
    <row r="529" spans="4:4" x14ac:dyDescent="0.2">
      <c r="D529" s="166" t="s">
        <v>63</v>
      </c>
    </row>
    <row r="530" spans="4:4" x14ac:dyDescent="0.2">
      <c r="D530" s="166" t="s">
        <v>63</v>
      </c>
    </row>
    <row r="531" spans="4:4" x14ac:dyDescent="0.2">
      <c r="D531" s="166" t="s">
        <v>63</v>
      </c>
    </row>
    <row r="532" spans="4:4" x14ac:dyDescent="0.2">
      <c r="D532" s="166" t="s">
        <v>63</v>
      </c>
    </row>
    <row r="533" spans="4:4" x14ac:dyDescent="0.2">
      <c r="D533" s="166" t="s">
        <v>63</v>
      </c>
    </row>
    <row r="534" spans="4:4" x14ac:dyDescent="0.2">
      <c r="D534" s="166" t="s">
        <v>63</v>
      </c>
    </row>
    <row r="535" spans="4:4" x14ac:dyDescent="0.2">
      <c r="D535" s="166" t="s">
        <v>63</v>
      </c>
    </row>
    <row r="536" spans="4:4" x14ac:dyDescent="0.2">
      <c r="D536" s="166" t="s">
        <v>63</v>
      </c>
    </row>
    <row r="537" spans="4:4" x14ac:dyDescent="0.2">
      <c r="D537" s="166" t="s">
        <v>63</v>
      </c>
    </row>
    <row r="538" spans="4:4" x14ac:dyDescent="0.2">
      <c r="D538" s="166" t="s">
        <v>63</v>
      </c>
    </row>
    <row r="539" spans="4:4" x14ac:dyDescent="0.2">
      <c r="D539" s="166" t="s">
        <v>63</v>
      </c>
    </row>
    <row r="540" spans="4:4" x14ac:dyDescent="0.2">
      <c r="D540" s="166" t="s">
        <v>63</v>
      </c>
    </row>
    <row r="541" spans="4:4" x14ac:dyDescent="0.2">
      <c r="D541" s="166" t="s">
        <v>63</v>
      </c>
    </row>
    <row r="542" spans="4:4" x14ac:dyDescent="0.2">
      <c r="D542" s="166" t="s">
        <v>63</v>
      </c>
    </row>
    <row r="543" spans="4:4" x14ac:dyDescent="0.2">
      <c r="D543" s="166" t="s">
        <v>63</v>
      </c>
    </row>
    <row r="544" spans="4:4" x14ac:dyDescent="0.2">
      <c r="D544" s="166" t="s">
        <v>63</v>
      </c>
    </row>
    <row r="545" spans="4:4" x14ac:dyDescent="0.2">
      <c r="D545" s="166" t="s">
        <v>63</v>
      </c>
    </row>
    <row r="546" spans="4:4" x14ac:dyDescent="0.2">
      <c r="D546" s="166" t="s">
        <v>63</v>
      </c>
    </row>
    <row r="547" spans="4:4" x14ac:dyDescent="0.2">
      <c r="D547" s="166" t="s">
        <v>63</v>
      </c>
    </row>
    <row r="548" spans="4:4" x14ac:dyDescent="0.2">
      <c r="D548" s="166" t="s">
        <v>63</v>
      </c>
    </row>
    <row r="549" spans="4:4" x14ac:dyDescent="0.2">
      <c r="D549" s="166" t="s">
        <v>63</v>
      </c>
    </row>
    <row r="550" spans="4:4" x14ac:dyDescent="0.2">
      <c r="D550" s="166" t="s">
        <v>63</v>
      </c>
    </row>
    <row r="551" spans="4:4" x14ac:dyDescent="0.2">
      <c r="D551" s="166" t="s">
        <v>63</v>
      </c>
    </row>
    <row r="552" spans="4:4" x14ac:dyDescent="0.2">
      <c r="D552" s="166" t="s">
        <v>63</v>
      </c>
    </row>
    <row r="553" spans="4:4" x14ac:dyDescent="0.2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8" bestFit="1" customWidth="1"/>
    <col min="4" max="4" width="2" style="162" bestFit="1" customWidth="1"/>
    <col min="5" max="5" width="12.5" style="162" bestFit="1" customWidth="1"/>
    <col min="6" max="6" width="6.33203125" style="162" bestFit="1" customWidth="1"/>
    <col min="7" max="7" width="17.5" style="162" bestFit="1" customWidth="1"/>
    <col min="8" max="8" width="7.1640625" style="220" bestFit="1" customWidth="1"/>
    <col min="9" max="9" width="8" style="220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1" x14ac:dyDescent="0.2">
      <c r="A1" s="284" t="s">
        <v>448</v>
      </c>
      <c r="B1" s="284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20">
        <v>7</v>
      </c>
      <c r="I1" s="22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5"/>
      <c r="D2" s="196"/>
      <c r="E2" s="169"/>
      <c r="O2" s="290" t="s">
        <v>160</v>
      </c>
      <c r="P2" s="290"/>
      <c r="Q2" s="283" t="s">
        <v>124</v>
      </c>
      <c r="R2" s="283"/>
    </row>
    <row r="3" spans="1:31" s="15" customFormat="1" ht="10.25" customHeight="1" x14ac:dyDescent="0.15">
      <c r="A3" s="26" t="s">
        <v>441</v>
      </c>
      <c r="B3" s="26" t="s">
        <v>122</v>
      </c>
      <c r="C3" s="197" t="s">
        <v>123</v>
      </c>
      <c r="D3" s="164" t="s">
        <v>443</v>
      </c>
      <c r="E3" s="165" t="s">
        <v>121</v>
      </c>
      <c r="F3" s="165" t="s">
        <v>120</v>
      </c>
      <c r="G3" s="165" t="s">
        <v>444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7" t="s">
        <v>451</v>
      </c>
      <c r="AA3" s="237" t="s">
        <v>450</v>
      </c>
      <c r="AB3" s="238" t="s">
        <v>452</v>
      </c>
      <c r="AC3" s="237" t="s">
        <v>453</v>
      </c>
      <c r="AD3" s="237" t="s">
        <v>454</v>
      </c>
      <c r="AE3" s="237" t="s">
        <v>455</v>
      </c>
    </row>
    <row r="4" spans="1:31" x14ac:dyDescent="0.2">
      <c r="B4" s="1" t="str">
        <f>CONCATENATE(C4,D4,E4,F4)</f>
        <v>0.01, Combine (200-249 hp) 240 hp</v>
      </c>
      <c r="C4" s="166">
        <v>0.01</v>
      </c>
      <c r="D4" s="162" t="s">
        <v>442</v>
      </c>
      <c r="E4" s="162" t="s">
        <v>424</v>
      </c>
      <c r="F4" s="162" t="s">
        <v>425</v>
      </c>
      <c r="G4" s="162" t="str">
        <f>CONCATENATE(E4,F4)</f>
        <v>Combine (200-249 hp) 240 hp</v>
      </c>
      <c r="H4" s="220">
        <v>315000</v>
      </c>
      <c r="I4" s="220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442</v>
      </c>
      <c r="E5" s="162" t="s">
        <v>205</v>
      </c>
      <c r="F5" s="162" t="s">
        <v>159</v>
      </c>
      <c r="G5" s="162" t="str">
        <f t="shared" ref="G5:G43" si="2">CONCATENATE(E5,F5)</f>
        <v>Combine (250-299 hp) 265 hp</v>
      </c>
      <c r="H5" s="248">
        <v>323000</v>
      </c>
      <c r="I5" s="220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9">
        <f t="shared" ref="Z5:Z11" si="3">((1.132-0.165*(L5^0.5)-0.0079*(M5^0.5))^2)*H5</f>
        <v>65030.240821115105</v>
      </c>
      <c r="AA5" s="239">
        <f t="shared" ref="AA5:AA43" si="4">(H5-Z5)/L5</f>
        <v>21497.479931573744</v>
      </c>
      <c r="AB5" s="239">
        <f t="shared" si="0"/>
        <v>34922.721673900356</v>
      </c>
      <c r="AC5" s="239">
        <f t="shared" si="1"/>
        <v>9312.7257797067632</v>
      </c>
      <c r="AD5" s="239">
        <f t="shared" ref="AD5:AD43" si="5">(AA5+AB5+AC5)/M5</f>
        <v>328.66463692590429</v>
      </c>
      <c r="AE5" s="240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442</v>
      </c>
      <c r="E6" s="162" t="s">
        <v>206</v>
      </c>
      <c r="F6" s="162" t="s">
        <v>158</v>
      </c>
      <c r="G6" s="162" t="str">
        <f t="shared" si="2"/>
        <v>Combine (300-349 hp) 325 hp</v>
      </c>
      <c r="H6" s="248">
        <v>336000</v>
      </c>
      <c r="I6" s="220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9">
        <f t="shared" si="3"/>
        <v>60288.319193962016</v>
      </c>
      <c r="AA6" s="239">
        <f t="shared" si="4"/>
        <v>22975.973400503164</v>
      </c>
      <c r="AB6" s="239">
        <f t="shared" si="0"/>
        <v>35665.948727456584</v>
      </c>
      <c r="AC6" s="239">
        <f t="shared" si="1"/>
        <v>9510.9196606550886</v>
      </c>
      <c r="AD6" s="239">
        <f t="shared" si="5"/>
        <v>227.1761392953828</v>
      </c>
      <c r="AE6" s="240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6">
        <v>0.04</v>
      </c>
      <c r="D7" s="162" t="s">
        <v>442</v>
      </c>
      <c r="E7" s="162" t="s">
        <v>207</v>
      </c>
      <c r="F7" s="162" t="s">
        <v>157</v>
      </c>
      <c r="G7" s="162" t="str">
        <f t="shared" si="2"/>
        <v>Combine (350-399 hp) 355 hp</v>
      </c>
      <c r="H7" s="248">
        <v>340000</v>
      </c>
      <c r="I7" s="220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9">
        <f t="shared" si="3"/>
        <v>61006.037279604418</v>
      </c>
      <c r="AA7" s="239">
        <f t="shared" si="4"/>
        <v>23249.4968933663</v>
      </c>
      <c r="AB7" s="239">
        <f t="shared" si="0"/>
        <v>36090.543355164395</v>
      </c>
      <c r="AC7" s="239">
        <f t="shared" si="1"/>
        <v>9624.1448947105055</v>
      </c>
      <c r="AD7" s="239">
        <f t="shared" si="5"/>
        <v>229.88061714413735</v>
      </c>
      <c r="AE7" s="240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6">
        <v>0.05</v>
      </c>
      <c r="D8" s="162" t="s">
        <v>442</v>
      </c>
      <c r="E8" s="162" t="s">
        <v>208</v>
      </c>
      <c r="F8" s="162" t="s">
        <v>156</v>
      </c>
      <c r="G8" s="162" t="str">
        <f t="shared" si="2"/>
        <v>Combine (400-449 hp) 425 hp</v>
      </c>
      <c r="H8" s="248">
        <v>409000</v>
      </c>
      <c r="I8" s="220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39">
        <f t="shared" si="3"/>
        <v>73386.674256935905</v>
      </c>
      <c r="AA8" s="239">
        <f t="shared" si="4"/>
        <v>27967.777145255342</v>
      </c>
      <c r="AB8" s="239">
        <f t="shared" si="0"/>
        <v>43414.800683124231</v>
      </c>
      <c r="AC8" s="239">
        <f t="shared" si="1"/>
        <v>11577.280182166462</v>
      </c>
      <c r="AD8" s="239">
        <f t="shared" si="5"/>
        <v>276.53286003515348</v>
      </c>
      <c r="AE8" s="240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6">
        <v>0.06</v>
      </c>
      <c r="D9" s="162" t="s">
        <v>442</v>
      </c>
      <c r="E9" s="162" t="s">
        <v>244</v>
      </c>
      <c r="F9" s="162" t="s">
        <v>155</v>
      </c>
      <c r="G9" s="162" t="str">
        <f t="shared" si="2"/>
        <v>Combine (450-499 hp) 475 hp</v>
      </c>
      <c r="H9" s="248">
        <v>423000</v>
      </c>
      <c r="I9" s="220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39">
        <f t="shared" si="3"/>
        <v>75898.687556684323</v>
      </c>
      <c r="AA9" s="239">
        <f t="shared" si="4"/>
        <v>28925.109370276306</v>
      </c>
      <c r="AB9" s="239">
        <f t="shared" si="0"/>
        <v>44900.881880101588</v>
      </c>
      <c r="AC9" s="239">
        <f t="shared" si="1"/>
        <v>11973.568501360423</v>
      </c>
      <c r="AD9" s="239">
        <f t="shared" si="5"/>
        <v>285.9985325057944</v>
      </c>
      <c r="AE9" s="240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442</v>
      </c>
      <c r="E10" s="162" t="s">
        <v>209</v>
      </c>
      <c r="F10" s="162" t="s">
        <v>154</v>
      </c>
      <c r="G10" s="162" t="str">
        <f t="shared" si="2"/>
        <v>Cotton Stripper 173 hp</v>
      </c>
      <c r="H10" s="220">
        <v>180000</v>
      </c>
      <c r="I10" s="220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6">
        <v>0.08</v>
      </c>
      <c r="D11" s="162" t="s">
        <v>442</v>
      </c>
      <c r="E11" s="162" t="s">
        <v>245</v>
      </c>
      <c r="F11" s="162" t="s">
        <v>153</v>
      </c>
      <c r="G11" s="162" t="str">
        <f t="shared" si="2"/>
        <v>Tractor (20-39 hp) MFWD 30</v>
      </c>
      <c r="H11" s="246">
        <v>28500</v>
      </c>
      <c r="I11" s="220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39">
        <f t="shared" si="3"/>
        <v>2938.8067380501284</v>
      </c>
      <c r="AA11" s="239">
        <f t="shared" si="4"/>
        <v>1825.7995187107051</v>
      </c>
      <c r="AB11" s="239">
        <f t="shared" si="0"/>
        <v>2829.4926064245115</v>
      </c>
      <c r="AC11" s="239">
        <f t="shared" si="1"/>
        <v>754.53136171320307</v>
      </c>
      <c r="AD11" s="239">
        <f t="shared" si="5"/>
        <v>9.0163724780806991</v>
      </c>
      <c r="AE11" s="240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6">
        <v>0.09</v>
      </c>
      <c r="D12" s="162" t="s">
        <v>442</v>
      </c>
      <c r="E12" s="162" t="s">
        <v>245</v>
      </c>
      <c r="F12" s="162" t="s">
        <v>153</v>
      </c>
      <c r="G12" s="162" t="str">
        <f t="shared" si="2"/>
        <v>Tractor (20-39 hp) MFWD 30</v>
      </c>
      <c r="H12" s="246">
        <v>21300</v>
      </c>
      <c r="I12" s="220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39">
        <f>((0.981-0.093*(L12^0.5)-0.0058*(M12^0.5))^2)*H12</f>
        <v>5134.0936739867466</v>
      </c>
      <c r="AA12" s="239">
        <f t="shared" si="4"/>
        <v>1154.7075947152323</v>
      </c>
      <c r="AB12" s="239">
        <f t="shared" si="0"/>
        <v>2379.0684306588073</v>
      </c>
      <c r="AC12" s="239">
        <f t="shared" si="1"/>
        <v>634.41824817568192</v>
      </c>
      <c r="AD12" s="239">
        <f t="shared" si="5"/>
        <v>6.9469904559162021</v>
      </c>
      <c r="AE12" s="240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6">
        <v>0.1</v>
      </c>
      <c r="D13" s="162" t="s">
        <v>442</v>
      </c>
      <c r="E13" s="162" t="s">
        <v>246</v>
      </c>
      <c r="F13" s="162" t="s">
        <v>152</v>
      </c>
      <c r="G13" s="162" t="str">
        <f t="shared" si="2"/>
        <v>Tractor (40-59 hp) 2WD 50</v>
      </c>
      <c r="H13" s="246">
        <v>32200</v>
      </c>
      <c r="I13" s="220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39">
        <f t="shared" ref="Z13:Z20" si="18">((0.981-0.093*(L13^0.5)-0.0058*(M13^0.5))^2)*H13</f>
        <v>7761.3998264025004</v>
      </c>
      <c r="AA13" s="239">
        <f t="shared" si="4"/>
        <v>1745.6142981141072</v>
      </c>
      <c r="AB13" s="239">
        <f t="shared" si="0"/>
        <v>3596.5259843762246</v>
      </c>
      <c r="AC13" s="239">
        <f t="shared" si="1"/>
        <v>959.07359583365997</v>
      </c>
      <c r="AD13" s="239">
        <f t="shared" si="5"/>
        <v>10.502023130539985</v>
      </c>
      <c r="AE13" s="240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6">
        <v>0.11</v>
      </c>
      <c r="D14" s="162" t="s">
        <v>442</v>
      </c>
      <c r="E14" s="162" t="s">
        <v>246</v>
      </c>
      <c r="F14" s="162" t="s">
        <v>151</v>
      </c>
      <c r="G14" s="162" t="str">
        <f t="shared" si="2"/>
        <v>Tractor (40-59 hp) MFWD 50</v>
      </c>
      <c r="H14" s="246">
        <v>39100</v>
      </c>
      <c r="I14" s="220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39">
        <f t="shared" si="18"/>
        <v>9424.556932060179</v>
      </c>
      <c r="AA14" s="239">
        <f t="shared" si="4"/>
        <v>2119.6745048528442</v>
      </c>
      <c r="AB14" s="239">
        <f t="shared" si="0"/>
        <v>4367.2101238854157</v>
      </c>
      <c r="AC14" s="239">
        <f t="shared" si="1"/>
        <v>1164.5893663694444</v>
      </c>
      <c r="AD14" s="239">
        <f t="shared" si="5"/>
        <v>12.752456658512841</v>
      </c>
      <c r="AE14" s="240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6">
        <v>0.12</v>
      </c>
      <c r="D15" s="162" t="s">
        <v>442</v>
      </c>
      <c r="E15" s="162" t="s">
        <v>246</v>
      </c>
      <c r="F15" s="162" t="s">
        <v>152</v>
      </c>
      <c r="G15" s="162" t="str">
        <f t="shared" si="2"/>
        <v>Tractor (40-59 hp) 2WD 50</v>
      </c>
      <c r="H15" s="246">
        <v>20900</v>
      </c>
      <c r="I15" s="220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39">
        <f t="shared" si="18"/>
        <v>5037.67876931094</v>
      </c>
      <c r="AA15" s="239">
        <f t="shared" si="4"/>
        <v>1133.0229450492186</v>
      </c>
      <c r="AB15" s="239">
        <f t="shared" si="0"/>
        <v>2334.3910892379845</v>
      </c>
      <c r="AC15" s="239">
        <f t="shared" si="1"/>
        <v>622.50429046346255</v>
      </c>
      <c r="AD15" s="239">
        <f t="shared" si="5"/>
        <v>6.8165305412511099</v>
      </c>
      <c r="AE15" s="240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6">
        <v>0.13</v>
      </c>
      <c r="D16" s="162" t="s">
        <v>442</v>
      </c>
      <c r="E16" s="162" t="s">
        <v>246</v>
      </c>
      <c r="F16" s="162" t="s">
        <v>151</v>
      </c>
      <c r="G16" s="162" t="str">
        <f t="shared" si="2"/>
        <v>Tractor (40-59 hp) MFWD 50</v>
      </c>
      <c r="H16" s="246">
        <v>24300</v>
      </c>
      <c r="I16" s="220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39">
        <f t="shared" si="18"/>
        <v>5857.2054590553025</v>
      </c>
      <c r="AA16" s="239">
        <f t="shared" si="4"/>
        <v>1317.3424672103356</v>
      </c>
      <c r="AB16" s="239">
        <f t="shared" si="0"/>
        <v>2714.148491314977</v>
      </c>
      <c r="AC16" s="239">
        <f t="shared" si="1"/>
        <v>723.77293101732721</v>
      </c>
      <c r="AD16" s="239">
        <f t="shared" si="5"/>
        <v>7.9254398159043999</v>
      </c>
      <c r="AE16" s="240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442</v>
      </c>
      <c r="E17" s="162" t="s">
        <v>247</v>
      </c>
      <c r="F17" s="162" t="s">
        <v>150</v>
      </c>
      <c r="G17" s="162" t="str">
        <f t="shared" si="2"/>
        <v>Tractor (60-89 hp) 2WD 75</v>
      </c>
      <c r="H17" s="246">
        <v>48300</v>
      </c>
      <c r="I17" s="220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39">
        <f t="shared" si="18"/>
        <v>11642.099739603751</v>
      </c>
      <c r="AA17" s="239">
        <f t="shared" si="4"/>
        <v>2618.4214471711607</v>
      </c>
      <c r="AB17" s="239">
        <f t="shared" si="0"/>
        <v>5394.7889765643376</v>
      </c>
      <c r="AC17" s="239">
        <f t="shared" si="1"/>
        <v>1438.6103937504899</v>
      </c>
      <c r="AD17" s="239">
        <f t="shared" si="5"/>
        <v>15.75303469580998</v>
      </c>
      <c r="AE17" s="240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6">
        <v>0.15</v>
      </c>
      <c r="D18" s="162" t="s">
        <v>442</v>
      </c>
      <c r="E18" s="162" t="s">
        <v>247</v>
      </c>
      <c r="F18" s="162" t="s">
        <v>149</v>
      </c>
      <c r="G18" s="162" t="str">
        <f t="shared" si="2"/>
        <v>Tractor (60-89 hp) MFWD 75</v>
      </c>
      <c r="H18" s="246">
        <v>54100</v>
      </c>
      <c r="I18" s="220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39">
        <f t="shared" si="18"/>
        <v>13040.115857402958</v>
      </c>
      <c r="AA18" s="239">
        <f t="shared" si="4"/>
        <v>2932.8488673283605</v>
      </c>
      <c r="AB18" s="239">
        <f t="shared" si="0"/>
        <v>6042.6104271662653</v>
      </c>
      <c r="AC18" s="239">
        <f t="shared" si="1"/>
        <v>1611.3627805776709</v>
      </c>
      <c r="AD18" s="239">
        <f t="shared" si="5"/>
        <v>17.644703458453826</v>
      </c>
      <c r="AE18" s="240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6">
        <v>0.16</v>
      </c>
      <c r="D19" s="162" t="s">
        <v>442</v>
      </c>
      <c r="E19" s="162" t="s">
        <v>247</v>
      </c>
      <c r="F19" s="162" t="s">
        <v>150</v>
      </c>
      <c r="G19" s="162" t="str">
        <f t="shared" si="2"/>
        <v>Tractor (60-89 hp) 2WD 75</v>
      </c>
      <c r="H19" s="246">
        <v>34400</v>
      </c>
      <c r="I19" s="220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39">
        <f t="shared" si="18"/>
        <v>8291.6818021194413</v>
      </c>
      <c r="AA19" s="239">
        <f t="shared" si="4"/>
        <v>1864.8798712771827</v>
      </c>
      <c r="AB19" s="239">
        <f t="shared" si="0"/>
        <v>3842.2513621907497</v>
      </c>
      <c r="AC19" s="239">
        <f t="shared" si="1"/>
        <v>1024.6003632508666</v>
      </c>
      <c r="AD19" s="239">
        <f t="shared" si="5"/>
        <v>11.219552661197998</v>
      </c>
      <c r="AE19" s="240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6">
        <v>0.17</v>
      </c>
      <c r="D20" s="162" t="s">
        <v>442</v>
      </c>
      <c r="E20" s="162" t="s">
        <v>247</v>
      </c>
      <c r="F20" s="162" t="s">
        <v>149</v>
      </c>
      <c r="G20" s="162" t="str">
        <f t="shared" si="2"/>
        <v>Tractor (60-89 hp) MFWD 75</v>
      </c>
      <c r="H20" s="246">
        <v>35800</v>
      </c>
      <c r="I20" s="220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39">
        <f t="shared" si="18"/>
        <v>8629.133968484768</v>
      </c>
      <c r="AA20" s="239">
        <f t="shared" si="4"/>
        <v>1940.7761451082308</v>
      </c>
      <c r="AB20" s="239">
        <f t="shared" si="0"/>
        <v>3998.6220571636291</v>
      </c>
      <c r="AC20" s="239">
        <f t="shared" si="1"/>
        <v>1066.2992152436345</v>
      </c>
      <c r="AD20" s="239">
        <f t="shared" si="5"/>
        <v>11.676162362525824</v>
      </c>
      <c r="AE20" s="240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442</v>
      </c>
      <c r="E21" s="162" t="s">
        <v>248</v>
      </c>
      <c r="F21" s="162" t="s">
        <v>148</v>
      </c>
      <c r="G21" s="162" t="str">
        <f t="shared" si="2"/>
        <v>Tractor (90-119 hp) 2WD 105</v>
      </c>
      <c r="H21" s="246">
        <v>65300</v>
      </c>
      <c r="I21" s="220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39">
        <f>((0.942-0.1*(L21^0.5)-0.0008*(M21^0.5))^2)*H21</f>
        <v>19626.912859253018</v>
      </c>
      <c r="AA21" s="239">
        <f t="shared" si="4"/>
        <v>3262.3633671962129</v>
      </c>
      <c r="AB21" s="239">
        <f t="shared" si="0"/>
        <v>7643.4221573327713</v>
      </c>
      <c r="AC21" s="239">
        <f t="shared" si="1"/>
        <v>2038.2459086220724</v>
      </c>
      <c r="AD21" s="239">
        <f t="shared" si="5"/>
        <v>21.573385721918427</v>
      </c>
      <c r="AE21" s="240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442</v>
      </c>
      <c r="E22" s="162" t="s">
        <v>248</v>
      </c>
      <c r="F22" s="162" t="s">
        <v>147</v>
      </c>
      <c r="G22" s="162" t="str">
        <f t="shared" si="2"/>
        <v>Tractor (90-119 hp) MFWD 105</v>
      </c>
      <c r="H22" s="246">
        <v>77400</v>
      </c>
      <c r="I22" s="220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39">
        <f t="shared" ref="Z22:Z28" si="19">((0.942-0.1*(L22^0.5)-0.0008*(M22^0.5))^2)*H22</f>
        <v>23263.752761197298</v>
      </c>
      <c r="AA22" s="239">
        <f t="shared" si="4"/>
        <v>3866.8748027716215</v>
      </c>
      <c r="AB22" s="239">
        <f t="shared" si="0"/>
        <v>9059.7377485077577</v>
      </c>
      <c r="AC22" s="239">
        <f t="shared" si="1"/>
        <v>2415.9300662687356</v>
      </c>
      <c r="AD22" s="239">
        <f t="shared" si="5"/>
        <v>25.57090436258019</v>
      </c>
      <c r="AE22" s="240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6">
        <v>0.2</v>
      </c>
      <c r="D23" s="162" t="s">
        <v>442</v>
      </c>
      <c r="E23" s="162" t="s">
        <v>248</v>
      </c>
      <c r="F23" s="162" t="s">
        <v>148</v>
      </c>
      <c r="G23" s="162" t="str">
        <f t="shared" si="2"/>
        <v>Tractor (90-119 hp) 2WD 105</v>
      </c>
      <c r="H23" s="246">
        <v>57600</v>
      </c>
      <c r="I23" s="220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39">
        <f t="shared" si="19"/>
        <v>17312.560194379384</v>
      </c>
      <c r="AA23" s="239">
        <f t="shared" si="4"/>
        <v>2877.6742718300438</v>
      </c>
      <c r="AB23" s="239">
        <f t="shared" si="0"/>
        <v>6742.1304174941442</v>
      </c>
      <c r="AC23" s="239">
        <f t="shared" si="1"/>
        <v>1797.9014446651054</v>
      </c>
      <c r="AD23" s="239">
        <f t="shared" si="5"/>
        <v>19.029510223315491</v>
      </c>
      <c r="AE23" s="240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442</v>
      </c>
      <c r="E24" s="162" t="s">
        <v>248</v>
      </c>
      <c r="F24" s="162" t="s">
        <v>147</v>
      </c>
      <c r="G24" s="162" t="str">
        <f t="shared" si="2"/>
        <v>Tractor (90-119 hp) MFWD 105</v>
      </c>
      <c r="H24" s="246">
        <v>62100</v>
      </c>
      <c r="I24" s="220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39">
        <f t="shared" si="19"/>
        <v>18665.103959565273</v>
      </c>
      <c r="AA24" s="239">
        <f t="shared" si="4"/>
        <v>3102.4925743167664</v>
      </c>
      <c r="AB24" s="239">
        <f t="shared" si="0"/>
        <v>7268.8593563608738</v>
      </c>
      <c r="AC24" s="239">
        <f t="shared" si="1"/>
        <v>1938.3624950295664</v>
      </c>
      <c r="AD24" s="239">
        <f t="shared" si="5"/>
        <v>20.51619070951201</v>
      </c>
      <c r="AE24" s="240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442</v>
      </c>
      <c r="E25" s="162" t="s">
        <v>249</v>
      </c>
      <c r="F25" s="162" t="s">
        <v>146</v>
      </c>
      <c r="G25" s="162" t="str">
        <f t="shared" si="2"/>
        <v>Tractor (120-139 hp) 2WD 130</v>
      </c>
      <c r="H25" s="248">
        <v>177000</v>
      </c>
      <c r="I25" s="220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9">
        <f t="shared" si="19"/>
        <v>53200.054763978318</v>
      </c>
      <c r="AA25" s="239">
        <f t="shared" si="4"/>
        <v>8842.8532311444051</v>
      </c>
      <c r="AB25" s="239">
        <f t="shared" si="0"/>
        <v>20718.004928758048</v>
      </c>
      <c r="AC25" s="239">
        <f t="shared" si="1"/>
        <v>5524.8013143354801</v>
      </c>
      <c r="AD25" s="239">
        <f t="shared" si="5"/>
        <v>58.476099123729895</v>
      </c>
      <c r="AE25" s="240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442</v>
      </c>
      <c r="E26" s="162" t="s">
        <v>249</v>
      </c>
      <c r="F26" s="162" t="s">
        <v>145</v>
      </c>
      <c r="G26" s="162" t="str">
        <f t="shared" si="2"/>
        <v>Tractor (120-139 hp) MFWD 130</v>
      </c>
      <c r="H26" s="248">
        <v>123000</v>
      </c>
      <c r="I26" s="220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9">
        <f t="shared" si="19"/>
        <v>36969.529581747644</v>
      </c>
      <c r="AA26" s="239">
        <f t="shared" si="4"/>
        <v>6145.0336013037395</v>
      </c>
      <c r="AB26" s="239">
        <f t="shared" si="0"/>
        <v>14397.25766235729</v>
      </c>
      <c r="AC26" s="239">
        <f t="shared" si="1"/>
        <v>3839.2687099619438</v>
      </c>
      <c r="AD26" s="239">
        <f t="shared" si="5"/>
        <v>40.635933289371614</v>
      </c>
      <c r="AE26" s="240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442</v>
      </c>
      <c r="E27" s="162" t="s">
        <v>250</v>
      </c>
      <c r="F27" s="162" t="s">
        <v>144</v>
      </c>
      <c r="G27" s="162" t="str">
        <f t="shared" si="2"/>
        <v>Tractor (140-159 hp) 2WD 150</v>
      </c>
      <c r="H27" s="248">
        <v>143000</v>
      </c>
      <c r="I27" s="220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39">
        <f t="shared" si="19"/>
        <v>42980.835204796043</v>
      </c>
      <c r="AA27" s="239">
        <f t="shared" si="4"/>
        <v>7144.2260568002821</v>
      </c>
      <c r="AB27" s="239">
        <f t="shared" si="0"/>
        <v>16738.275168431643</v>
      </c>
      <c r="AC27" s="239">
        <f t="shared" si="1"/>
        <v>4463.5400449151057</v>
      </c>
      <c r="AD27" s="239">
        <f t="shared" si="5"/>
        <v>47.243402116911717</v>
      </c>
      <c r="AE27" s="240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442</v>
      </c>
      <c r="E28" s="162" t="s">
        <v>250</v>
      </c>
      <c r="F28" s="162" t="s">
        <v>143</v>
      </c>
      <c r="G28" s="162" t="str">
        <f t="shared" si="2"/>
        <v>Tractor (140-159 hp) MFWD 150</v>
      </c>
      <c r="H28" s="248">
        <v>143000</v>
      </c>
      <c r="I28" s="220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9">
        <f t="shared" si="19"/>
        <v>42980.835204796043</v>
      </c>
      <c r="AA28" s="239">
        <f t="shared" si="4"/>
        <v>7144.2260568002821</v>
      </c>
      <c r="AB28" s="239">
        <f t="shared" si="0"/>
        <v>16738.275168431643</v>
      </c>
      <c r="AC28" s="239">
        <f t="shared" si="1"/>
        <v>4463.5400449151057</v>
      </c>
      <c r="AD28" s="239">
        <f t="shared" si="5"/>
        <v>47.243402116911717</v>
      </c>
      <c r="AE28" s="240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442</v>
      </c>
      <c r="E29" s="162" t="s">
        <v>251</v>
      </c>
      <c r="F29" s="162" t="s">
        <v>142</v>
      </c>
      <c r="G29" s="162" t="str">
        <f t="shared" si="2"/>
        <v>Tractor (160-179 hp) 2WD 170</v>
      </c>
      <c r="H29" s="248">
        <v>170000</v>
      </c>
      <c r="I29" s="220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39">
        <f>((0.976-0.119*(L29^0.5)-0.0019*(M29^0.5))^2)*H29</f>
        <v>39856.844750801785</v>
      </c>
      <c r="AA29" s="239">
        <f t="shared" si="4"/>
        <v>9295.9396606570153</v>
      </c>
      <c r="AB29" s="239">
        <f t="shared" si="0"/>
        <v>18887.11602757216</v>
      </c>
      <c r="AC29" s="239">
        <f t="shared" si="1"/>
        <v>5036.5642740192434</v>
      </c>
      <c r="AD29" s="239">
        <f t="shared" si="5"/>
        <v>55.366033270414036</v>
      </c>
      <c r="AE29" s="240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442</v>
      </c>
      <c r="E30" s="162" t="s">
        <v>251</v>
      </c>
      <c r="F30" s="162" t="s">
        <v>141</v>
      </c>
      <c r="G30" s="162" t="str">
        <f t="shared" si="2"/>
        <v>Tractor (160-179 hp) MFWD 170</v>
      </c>
      <c r="H30" s="248">
        <v>170000</v>
      </c>
      <c r="I30" s="220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39">
        <f t="shared" ref="Z30:Z40" si="20">((0.976-0.119*(L30^0.5)-0.0019*(M30^0.5))^2)*H30</f>
        <v>39856.844750801785</v>
      </c>
      <c r="AA30" s="239">
        <f t="shared" si="4"/>
        <v>9295.9396606570153</v>
      </c>
      <c r="AB30" s="239">
        <f t="shared" si="0"/>
        <v>18887.11602757216</v>
      </c>
      <c r="AC30" s="239">
        <f t="shared" si="1"/>
        <v>5036.5642740192434</v>
      </c>
      <c r="AD30" s="239">
        <f t="shared" si="5"/>
        <v>55.366033270414036</v>
      </c>
      <c r="AE30" s="240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442</v>
      </c>
      <c r="E31" s="162" t="s">
        <v>252</v>
      </c>
      <c r="F31" s="162" t="s">
        <v>140</v>
      </c>
      <c r="G31" s="162" t="str">
        <f t="shared" si="2"/>
        <v>Tractor (180-199 hp) MFWD 190</v>
      </c>
      <c r="H31" s="248">
        <v>186000</v>
      </c>
      <c r="I31" s="220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9">
        <f t="shared" si="20"/>
        <v>43608.077197936072</v>
      </c>
      <c r="AA31" s="239">
        <f t="shared" si="4"/>
        <v>10170.851628718852</v>
      </c>
      <c r="AB31" s="239">
        <f t="shared" si="0"/>
        <v>20664.726947814244</v>
      </c>
      <c r="AC31" s="239">
        <f t="shared" si="1"/>
        <v>5510.5938527504659</v>
      </c>
      <c r="AD31" s="239">
        <f t="shared" si="5"/>
        <v>60.576954048805931</v>
      </c>
      <c r="AE31" s="240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442</v>
      </c>
      <c r="E32" s="162" t="s">
        <v>253</v>
      </c>
      <c r="F32" s="162" t="s">
        <v>139</v>
      </c>
      <c r="G32" s="162" t="str">
        <f t="shared" si="2"/>
        <v>Tractor (200-249 hp) MFWD 225</v>
      </c>
      <c r="H32" s="248">
        <v>218000</v>
      </c>
      <c r="I32" s="220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39">
        <f t="shared" si="20"/>
        <v>51110.54209220464</v>
      </c>
      <c r="AA32" s="239">
        <f t="shared" si="4"/>
        <v>11920.675564842526</v>
      </c>
      <c r="AB32" s="239">
        <f t="shared" si="0"/>
        <v>24219.948788298414</v>
      </c>
      <c r="AC32" s="239">
        <f t="shared" si="1"/>
        <v>6458.6530102129109</v>
      </c>
      <c r="AD32" s="239">
        <f t="shared" si="5"/>
        <v>70.998795605589748</v>
      </c>
      <c r="AE32" s="240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442</v>
      </c>
      <c r="E33" s="162" t="s">
        <v>253</v>
      </c>
      <c r="F33" s="162" t="s">
        <v>138</v>
      </c>
      <c r="G33" s="162" t="str">
        <f t="shared" si="2"/>
        <v>Tractor (200-249 hp) Track 225</v>
      </c>
      <c r="H33" s="29">
        <v>281000</v>
      </c>
      <c r="I33" s="220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39">
        <f t="shared" si="20"/>
        <v>65881.019852795886</v>
      </c>
      <c r="AA33" s="239">
        <f t="shared" si="4"/>
        <v>15365.64143908601</v>
      </c>
      <c r="AB33" s="239">
        <f t="shared" si="0"/>
        <v>31219.291786751626</v>
      </c>
      <c r="AC33" s="239">
        <f t="shared" si="1"/>
        <v>8325.1444764671014</v>
      </c>
      <c r="AD33" s="239">
        <f t="shared" si="5"/>
        <v>91.516796170507902</v>
      </c>
      <c r="AE33" s="240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442</v>
      </c>
      <c r="E34" s="162" t="s">
        <v>254</v>
      </c>
      <c r="F34" s="162" t="s">
        <v>137</v>
      </c>
      <c r="G34" s="162" t="str">
        <f t="shared" si="2"/>
        <v>Tractor (250-349 hp) 4WD 300</v>
      </c>
      <c r="H34" s="220">
        <v>281000</v>
      </c>
      <c r="I34" s="220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39">
        <f t="shared" si="20"/>
        <v>65881.019852795886</v>
      </c>
      <c r="AA34" s="239">
        <f t="shared" si="4"/>
        <v>15365.64143908601</v>
      </c>
      <c r="AB34" s="239">
        <f t="shared" si="0"/>
        <v>31219.291786751626</v>
      </c>
      <c r="AC34" s="239">
        <f t="shared" si="1"/>
        <v>8325.1444764671014</v>
      </c>
      <c r="AD34" s="239">
        <f t="shared" si="5"/>
        <v>91.516796170507902</v>
      </c>
      <c r="AE34" s="240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442</v>
      </c>
      <c r="E35" s="162" t="s">
        <v>254</v>
      </c>
      <c r="F35" s="162" t="s">
        <v>136</v>
      </c>
      <c r="G35" s="162" t="str">
        <f t="shared" si="2"/>
        <v>Tractor (250-349 hp) MFWD 300</v>
      </c>
      <c r="H35" s="220">
        <v>297000</v>
      </c>
      <c r="I35" s="220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39">
        <f t="shared" si="20"/>
        <v>69632.252299930173</v>
      </c>
      <c r="AA35" s="239">
        <f t="shared" si="4"/>
        <v>16240.553407147845</v>
      </c>
      <c r="AB35" s="239">
        <f t="shared" si="0"/>
        <v>32996.902706993715</v>
      </c>
      <c r="AC35" s="239">
        <f t="shared" si="1"/>
        <v>8799.1740551983257</v>
      </c>
      <c r="AD35" s="239">
        <f t="shared" si="5"/>
        <v>96.727716948899811</v>
      </c>
      <c r="AE35" s="240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442</v>
      </c>
      <c r="E36" s="162" t="s">
        <v>254</v>
      </c>
      <c r="F36" s="162" t="s">
        <v>135</v>
      </c>
      <c r="G36" s="162" t="str">
        <f t="shared" si="2"/>
        <v>Tractor (250-349 hp) Track 300</v>
      </c>
      <c r="H36" s="220">
        <v>292000</v>
      </c>
      <c r="I36" s="220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39">
        <f t="shared" si="20"/>
        <v>68459.992160200709</v>
      </c>
      <c r="AA36" s="239">
        <f t="shared" si="4"/>
        <v>15967.14341712852</v>
      </c>
      <c r="AB36" s="239">
        <f t="shared" si="0"/>
        <v>32441.399294418065</v>
      </c>
      <c r="AC36" s="239">
        <f t="shared" si="1"/>
        <v>8651.0398118448175</v>
      </c>
      <c r="AD36" s="239">
        <f t="shared" si="5"/>
        <v>95.099304205652345</v>
      </c>
      <c r="AE36" s="240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442</v>
      </c>
      <c r="E37" s="162" t="s">
        <v>255</v>
      </c>
      <c r="F37" s="162" t="s">
        <v>134</v>
      </c>
      <c r="G37" s="162" t="str">
        <f t="shared" si="2"/>
        <v>Tractor (350-449 hp) 4WD 400</v>
      </c>
      <c r="H37" s="220">
        <v>325000</v>
      </c>
      <c r="I37" s="220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39">
        <f t="shared" si="20"/>
        <v>76196.909082415179</v>
      </c>
      <c r="AA37" s="239">
        <f t="shared" si="4"/>
        <v>17771.649351256059</v>
      </c>
      <c r="AB37" s="239">
        <f t="shared" si="0"/>
        <v>36107.721817417361</v>
      </c>
      <c r="AC37" s="239">
        <f t="shared" si="1"/>
        <v>9628.7258179779637</v>
      </c>
      <c r="AD37" s="239">
        <f t="shared" si="5"/>
        <v>105.84682831108563</v>
      </c>
      <c r="AE37" s="240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442</v>
      </c>
      <c r="E38" s="162" t="s">
        <v>255</v>
      </c>
      <c r="F38" s="162" t="s">
        <v>133</v>
      </c>
      <c r="G38" s="162" t="str">
        <f t="shared" si="2"/>
        <v>Tractor (350-449 hp) Track 400</v>
      </c>
      <c r="H38" s="220">
        <v>351000</v>
      </c>
      <c r="I38" s="220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39">
        <f t="shared" si="20"/>
        <v>82292.661809008394</v>
      </c>
      <c r="AA38" s="239">
        <f t="shared" si="4"/>
        <v>19193.381299356544</v>
      </c>
      <c r="AB38" s="239">
        <f t="shared" si="0"/>
        <v>38996.339562810754</v>
      </c>
      <c r="AC38" s="239">
        <f t="shared" si="1"/>
        <v>10399.023883416201</v>
      </c>
      <c r="AD38" s="239">
        <f t="shared" si="5"/>
        <v>114.31457457597251</v>
      </c>
      <c r="AE38" s="240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442</v>
      </c>
      <c r="E39" s="162" t="s">
        <v>256</v>
      </c>
      <c r="F39" s="162" t="s">
        <v>132</v>
      </c>
      <c r="G39" s="162" t="str">
        <f t="shared" si="2"/>
        <v>Tractor (450-550 hp) 4WD 500</v>
      </c>
      <c r="H39" s="220">
        <v>359000</v>
      </c>
      <c r="I39" s="220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39">
        <f t="shared" si="20"/>
        <v>84168.27803257553</v>
      </c>
      <c r="AA39" s="239">
        <f t="shared" si="4"/>
        <v>19630.837283387464</v>
      </c>
      <c r="AB39" s="239">
        <f t="shared" si="0"/>
        <v>39885.145022931792</v>
      </c>
      <c r="AC39" s="239">
        <f t="shared" si="1"/>
        <v>10636.038672781813</v>
      </c>
      <c r="AD39" s="239">
        <f t="shared" si="5"/>
        <v>116.92003496516845</v>
      </c>
      <c r="AE39" s="240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442</v>
      </c>
      <c r="E40" s="162" t="s">
        <v>256</v>
      </c>
      <c r="F40" s="162" t="s">
        <v>131</v>
      </c>
      <c r="G40" s="162" t="str">
        <f t="shared" si="2"/>
        <v>Tractor (450-550 hp) Track 500</v>
      </c>
      <c r="H40" s="220">
        <v>400000</v>
      </c>
      <c r="I40" s="220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39">
        <f t="shared" si="20"/>
        <v>93780.811178357137</v>
      </c>
      <c r="AA40" s="239">
        <f t="shared" si="4"/>
        <v>21872.79920154592</v>
      </c>
      <c r="AB40" s="239">
        <f t="shared" si="0"/>
        <v>44440.273006052135</v>
      </c>
      <c r="AC40" s="239">
        <f t="shared" si="1"/>
        <v>11850.739468280572</v>
      </c>
      <c r="AD40" s="239">
        <f t="shared" si="5"/>
        <v>130.27301945979772</v>
      </c>
      <c r="AE40" s="240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6">
        <v>0.38</v>
      </c>
      <c r="D41" s="162" t="s">
        <v>442</v>
      </c>
      <c r="E41" s="162" t="s">
        <v>210</v>
      </c>
      <c r="F41" s="162" t="s">
        <v>130</v>
      </c>
      <c r="G41" s="162" t="str">
        <f t="shared" si="2"/>
        <v>Utility Vehicle 500 CC</v>
      </c>
      <c r="H41" s="220">
        <v>6500</v>
      </c>
      <c r="I41" s="220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9">
        <f>((0.786-0.063*(L41^0.5)-0.0033*(M41^0.5))^2)*H41</f>
        <v>1648.5270371999154</v>
      </c>
      <c r="AA41" s="239">
        <f t="shared" si="4"/>
        <v>346.53378305714887</v>
      </c>
      <c r="AB41" s="239">
        <f t="shared" si="0"/>
        <v>733.36743334799235</v>
      </c>
      <c r="AC41" s="239">
        <f t="shared" si="1"/>
        <v>195.56464889279798</v>
      </c>
      <c r="AD41" s="239">
        <f t="shared" si="5"/>
        <v>6.3773293264896962</v>
      </c>
      <c r="AE41" s="240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6">
        <v>0.39</v>
      </c>
      <c r="D42" s="162" t="s">
        <v>442</v>
      </c>
      <c r="E42" s="162" t="s">
        <v>210</v>
      </c>
      <c r="F42" s="162" t="s">
        <v>129</v>
      </c>
      <c r="G42" s="162" t="str">
        <f t="shared" si="2"/>
        <v>Utility Vehicle 600 CC</v>
      </c>
      <c r="H42" s="220">
        <v>9700</v>
      </c>
      <c r="I42" s="220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39">
        <f t="shared" ref="Z42:Z43" si="21">((0.786-0.063*(L42^0.5)-0.0033*(M42^0.5))^2)*H42</f>
        <v>2460.1095785906427</v>
      </c>
      <c r="AA42" s="239">
        <f t="shared" si="4"/>
        <v>517.13503010066836</v>
      </c>
      <c r="AB42" s="239">
        <f t="shared" si="0"/>
        <v>1094.4098620731579</v>
      </c>
      <c r="AC42" s="239">
        <f t="shared" si="1"/>
        <v>291.84262988617547</v>
      </c>
      <c r="AD42" s="239">
        <f t="shared" si="5"/>
        <v>9.5169376103000083</v>
      </c>
      <c r="AE42" s="240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6">
        <v>0.4</v>
      </c>
      <c r="D43" s="162" t="s">
        <v>442</v>
      </c>
      <c r="E43" s="162" t="s">
        <v>210</v>
      </c>
      <c r="F43" s="162" t="s">
        <v>128</v>
      </c>
      <c r="G43" s="162" t="str">
        <f t="shared" si="2"/>
        <v>Utility Vehicle 800 CC</v>
      </c>
      <c r="H43" s="220">
        <v>12200</v>
      </c>
      <c r="I43" s="220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0" bestFit="1" customWidth="1"/>
    <col min="2" max="2" width="33.83203125" style="220" bestFit="1" customWidth="1"/>
    <col min="3" max="3" width="3.5" style="162" bestFit="1" customWidth="1"/>
    <col min="4" max="4" width="2" style="162" bestFit="1" customWidth="1"/>
    <col min="5" max="5" width="12.5" style="162" bestFit="1" customWidth="1"/>
    <col min="6" max="6" width="7" style="162" bestFit="1" customWidth="1"/>
    <col min="7" max="7" width="18.5" style="162" bestFit="1" customWidth="1"/>
    <col min="8" max="8" width="7.1640625" style="220" bestFit="1" customWidth="1"/>
    <col min="9" max="9" width="6.5" style="28" bestFit="1" customWidth="1"/>
    <col min="10" max="11" width="5.5" style="220" bestFit="1" customWidth="1"/>
    <col min="12" max="12" width="3" style="220" bestFit="1" customWidth="1"/>
    <col min="13" max="13" width="7.5" style="220" bestFit="1" customWidth="1"/>
    <col min="14" max="14" width="5.1640625" style="220" bestFit="1" customWidth="1"/>
    <col min="15" max="15" width="5.6640625" style="220" bestFit="1" customWidth="1"/>
    <col min="16" max="16" width="5.33203125" style="220" bestFit="1" customWidth="1"/>
    <col min="17" max="18" width="5.5" style="220" bestFit="1" customWidth="1"/>
    <col min="19" max="20" width="5.33203125" style="220" bestFit="1" customWidth="1"/>
    <col min="21" max="22" width="4.5" style="220" bestFit="1" customWidth="1"/>
    <col min="23" max="23" width="9.33203125" style="220" bestFit="1" customWidth="1"/>
    <col min="24" max="24" width="8.5" style="220" bestFit="1" customWidth="1"/>
    <col min="25" max="25" width="9" style="220" bestFit="1" customWidth="1"/>
    <col min="26" max="26" width="7.6640625" style="5" bestFit="1" customWidth="1"/>
    <col min="27" max="27" width="10" style="220" bestFit="1" customWidth="1"/>
    <col min="28" max="28" width="9" style="220" bestFit="1" customWidth="1"/>
    <col min="29" max="29" width="10" style="220" bestFit="1" customWidth="1"/>
    <col min="30" max="30" width="9" style="220" bestFit="1" customWidth="1"/>
    <col min="31" max="31" width="8.83203125" style="220" bestFit="1" customWidth="1"/>
    <col min="32" max="32" width="9" style="220" bestFit="1" customWidth="1"/>
    <col min="33" max="33" width="8.6640625" style="5" bestFit="1" customWidth="1"/>
    <col min="34" max="16384" width="8.83203125" style="220"/>
  </cols>
  <sheetData>
    <row r="1" spans="1:36" x14ac:dyDescent="0.2">
      <c r="A1" s="284" t="s">
        <v>447</v>
      </c>
      <c r="B1" s="284"/>
      <c r="C1" s="162">
        <v>2</v>
      </c>
      <c r="D1" s="162">
        <v>3</v>
      </c>
      <c r="E1" s="162">
        <v>4</v>
      </c>
      <c r="F1" s="162">
        <v>5</v>
      </c>
      <c r="G1" s="220">
        <v>6</v>
      </c>
      <c r="H1" s="220">
        <v>7</v>
      </c>
      <c r="I1" s="30">
        <v>8</v>
      </c>
      <c r="J1" s="220">
        <v>9</v>
      </c>
      <c r="K1" s="220">
        <v>10</v>
      </c>
      <c r="L1" s="220">
        <v>11</v>
      </c>
      <c r="M1" s="220">
        <v>12</v>
      </c>
      <c r="N1" s="220">
        <v>13</v>
      </c>
      <c r="O1" s="220">
        <v>14</v>
      </c>
      <c r="P1" s="220">
        <v>15</v>
      </c>
      <c r="Q1" s="220">
        <v>16</v>
      </c>
      <c r="R1" s="220">
        <v>17</v>
      </c>
      <c r="S1" s="220">
        <v>18</v>
      </c>
      <c r="T1" s="220">
        <v>19</v>
      </c>
      <c r="U1" s="220">
        <v>20</v>
      </c>
      <c r="V1" s="220">
        <v>21</v>
      </c>
      <c r="W1" s="220">
        <v>22</v>
      </c>
      <c r="X1" s="220">
        <v>23</v>
      </c>
      <c r="Y1" s="220">
        <v>24</v>
      </c>
      <c r="Z1" s="5">
        <v>25</v>
      </c>
      <c r="AA1" s="220">
        <v>26</v>
      </c>
      <c r="AB1" s="220">
        <v>27</v>
      </c>
      <c r="AC1" s="220">
        <v>28</v>
      </c>
      <c r="AD1" s="220">
        <v>29</v>
      </c>
      <c r="AE1" s="220">
        <v>30</v>
      </c>
      <c r="AF1" s="220">
        <v>31</v>
      </c>
      <c r="AG1" s="5">
        <v>32</v>
      </c>
    </row>
    <row r="2" spans="1:36" x14ac:dyDescent="0.2">
      <c r="B2" s="39"/>
      <c r="C2" s="196"/>
      <c r="D2" s="196"/>
      <c r="E2" s="168"/>
      <c r="S2" s="282" t="s">
        <v>125</v>
      </c>
      <c r="T2" s="282"/>
      <c r="U2" s="282"/>
      <c r="V2" s="282"/>
      <c r="W2" s="282"/>
      <c r="X2" s="282"/>
      <c r="Y2" s="283" t="s">
        <v>124</v>
      </c>
      <c r="Z2" s="283"/>
    </row>
    <row r="3" spans="1:36" s="15" customFormat="1" ht="10.25" customHeight="1" x14ac:dyDescent="0.15">
      <c r="A3" s="26" t="s">
        <v>441</v>
      </c>
      <c r="B3" s="26" t="s">
        <v>122</v>
      </c>
      <c r="C3" s="164" t="s">
        <v>123</v>
      </c>
      <c r="D3" s="164" t="s">
        <v>443</v>
      </c>
      <c r="E3" s="165" t="s">
        <v>121</v>
      </c>
      <c r="F3" s="165" t="s">
        <v>120</v>
      </c>
      <c r="G3" s="165" t="s">
        <v>444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2" t="s">
        <v>95</v>
      </c>
      <c r="AJ3" s="16"/>
    </row>
    <row r="4" spans="1:36" x14ac:dyDescent="0.2">
      <c r="A4" s="220">
        <v>92</v>
      </c>
      <c r="B4" s="220" t="str">
        <f t="shared" ref="B4:B24" si="0">CONCATENATE(C4,D4,E4,F4)</f>
        <v>0.04, Cotton Picker 4R-36 (255)</v>
      </c>
      <c r="C4" s="162">
        <v>0.04</v>
      </c>
      <c r="D4" s="162" t="s">
        <v>442</v>
      </c>
      <c r="E4" s="183" t="s">
        <v>211</v>
      </c>
      <c r="F4" s="183" t="s">
        <v>223</v>
      </c>
      <c r="G4" s="162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1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3">
        <f t="shared" ref="AG4:AG24" si="14">AF4/Q4</f>
        <v>216.54400000000001</v>
      </c>
    </row>
    <row r="5" spans="1:36" x14ac:dyDescent="0.2">
      <c r="A5" s="220">
        <v>45</v>
      </c>
      <c r="B5" s="220" t="str">
        <f t="shared" si="0"/>
        <v>0.05, Cotton Picker 4R-36 (350)</v>
      </c>
      <c r="C5" s="162">
        <v>0.05</v>
      </c>
      <c r="D5" s="162" t="s">
        <v>442</v>
      </c>
      <c r="E5" s="183" t="s">
        <v>211</v>
      </c>
      <c r="F5" s="183" t="s">
        <v>224</v>
      </c>
      <c r="G5" s="162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1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3">
        <f t="shared" si="14"/>
        <v>283.608</v>
      </c>
    </row>
    <row r="6" spans="1:36" x14ac:dyDescent="0.2">
      <c r="A6" s="220">
        <v>51</v>
      </c>
      <c r="B6" s="220" t="str">
        <f t="shared" si="0"/>
        <v>0.09, Cotton Picker 6R-36 (355)</v>
      </c>
      <c r="C6" s="162">
        <v>0.09</v>
      </c>
      <c r="D6" s="162" t="s">
        <v>442</v>
      </c>
      <c r="E6" s="183" t="s">
        <v>211</v>
      </c>
      <c r="F6" s="183" t="s">
        <v>227</v>
      </c>
      <c r="G6" s="162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1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3">
        <f t="shared" si="14"/>
        <v>375.72</v>
      </c>
    </row>
    <row r="7" spans="1:36" x14ac:dyDescent="0.2">
      <c r="A7" s="220">
        <v>102</v>
      </c>
      <c r="B7" s="220" t="str">
        <f t="shared" si="0"/>
        <v>0.1, Cotton Picker/Module 4R-36 (365)</v>
      </c>
      <c r="C7" s="162">
        <v>0.1</v>
      </c>
      <c r="D7" s="162" t="s">
        <v>442</v>
      </c>
      <c r="E7" s="183" t="s">
        <v>212</v>
      </c>
      <c r="F7" s="183" t="s">
        <v>228</v>
      </c>
      <c r="G7" s="162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1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3">
        <f t="shared" si="14"/>
        <v>433.08800000000002</v>
      </c>
    </row>
    <row r="8" spans="1:36" x14ac:dyDescent="0.2">
      <c r="A8" s="220">
        <v>55</v>
      </c>
      <c r="B8" s="220" t="str">
        <f t="shared" si="0"/>
        <v>0.13, Cotton Picker/Module 6R-36 (365)</v>
      </c>
      <c r="C8" s="162">
        <v>0.13</v>
      </c>
      <c r="D8" s="162" t="s">
        <v>442</v>
      </c>
      <c r="E8" s="183" t="s">
        <v>212</v>
      </c>
      <c r="F8" s="183" t="s">
        <v>229</v>
      </c>
      <c r="G8" s="162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1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1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3">
        <f t="shared" si="14"/>
        <v>525.20000000000005</v>
      </c>
    </row>
    <row r="9" spans="1:36" x14ac:dyDescent="0.2">
      <c r="A9" s="220">
        <v>84</v>
      </c>
      <c r="B9" s="220" t="str">
        <f t="shared" si="0"/>
        <v>0.14, Cotton Picker/Module 6R-36 (500)</v>
      </c>
      <c r="C9" s="162">
        <v>0.14000000000000001</v>
      </c>
      <c r="D9" s="162" t="s">
        <v>442</v>
      </c>
      <c r="E9" s="183" t="s">
        <v>212</v>
      </c>
      <c r="F9" s="183" t="s">
        <v>230</v>
      </c>
      <c r="G9" s="162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1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1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3">
        <f t="shared" si="14"/>
        <v>601.96</v>
      </c>
    </row>
    <row r="10" spans="1:36" x14ac:dyDescent="0.2">
      <c r="A10" s="220">
        <v>107</v>
      </c>
      <c r="B10" s="220" t="str">
        <f t="shared" si="0"/>
        <v xml:space="preserve">0.15, Backhoe 2WD Cab </v>
      </c>
      <c r="C10" s="162">
        <v>0.15</v>
      </c>
      <c r="D10" s="162" t="s">
        <v>442</v>
      </c>
      <c r="E10" s="183" t="s">
        <v>457</v>
      </c>
      <c r="F10" s="183" t="s">
        <v>456</v>
      </c>
      <c r="G10" s="162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1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9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3">
        <f>AF10/Q10</f>
        <v>69.239555555555569</v>
      </c>
    </row>
    <row r="11" spans="1:36" x14ac:dyDescent="0.2">
      <c r="A11" s="220">
        <v>22</v>
      </c>
      <c r="B11" s="220" t="str">
        <f t="shared" si="0"/>
        <v>0.16, Dry Applicator SP 70' 300 cu ft</v>
      </c>
      <c r="C11" s="162">
        <v>0.16</v>
      </c>
      <c r="D11" s="162" t="s">
        <v>442</v>
      </c>
      <c r="E11" s="183" t="s">
        <v>213</v>
      </c>
      <c r="F11" s="183" t="s">
        <v>231</v>
      </c>
      <c r="G11" s="162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1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1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3">
        <f t="shared" si="14"/>
        <v>144.05485714285714</v>
      </c>
    </row>
    <row r="12" spans="1:36" x14ac:dyDescent="0.2">
      <c r="A12" s="220">
        <v>85</v>
      </c>
      <c r="B12" s="220" t="str">
        <f t="shared" si="0"/>
        <v>0.17, Sprayer  110 Gal 30' 50 hp</v>
      </c>
      <c r="C12" s="162">
        <v>0.17</v>
      </c>
      <c r="D12" s="162" t="s">
        <v>442</v>
      </c>
      <c r="E12" s="183" t="s">
        <v>214</v>
      </c>
      <c r="F12" s="183" t="s">
        <v>232</v>
      </c>
      <c r="G12" s="162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1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3">
        <f t="shared" si="14"/>
        <v>23.085714285714285</v>
      </c>
    </row>
    <row r="13" spans="1:36" x14ac:dyDescent="0.2">
      <c r="A13" s="13">
        <v>72</v>
      </c>
      <c r="B13" s="220" t="str">
        <f t="shared" si="0"/>
        <v>0.18, Sprayer  300-450 gal 60' 125 hp</v>
      </c>
      <c r="C13" s="162">
        <v>0.18</v>
      </c>
      <c r="D13" s="162" t="s">
        <v>442</v>
      </c>
      <c r="E13" s="184" t="s">
        <v>215</v>
      </c>
      <c r="F13" s="184" t="s">
        <v>233</v>
      </c>
      <c r="G13" s="162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4">
        <f t="shared" si="14"/>
        <v>54.020571428571429</v>
      </c>
    </row>
    <row r="14" spans="1:36" x14ac:dyDescent="0.2">
      <c r="A14" s="220">
        <v>99</v>
      </c>
      <c r="B14" s="220" t="str">
        <f t="shared" si="0"/>
        <v>0.19, Sprayer  300-450 gal 80' 125 hp</v>
      </c>
      <c r="C14" s="162">
        <v>0.19</v>
      </c>
      <c r="D14" s="162" t="s">
        <v>442</v>
      </c>
      <c r="E14" s="183" t="s">
        <v>215</v>
      </c>
      <c r="F14" s="183" t="s">
        <v>234</v>
      </c>
      <c r="G14" s="162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1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3">
        <f t="shared" si="14"/>
        <v>55.405714285714289</v>
      </c>
    </row>
    <row r="15" spans="1:36" x14ac:dyDescent="0.2">
      <c r="A15" s="220">
        <v>48</v>
      </c>
      <c r="B15" s="220" t="str">
        <f t="shared" si="0"/>
        <v>0.2, Sprayer  600-750 gal 60' 175 hp</v>
      </c>
      <c r="C15" s="162">
        <v>0.2</v>
      </c>
      <c r="D15" s="162" t="s">
        <v>442</v>
      </c>
      <c r="E15" s="183" t="s">
        <v>216</v>
      </c>
      <c r="F15" s="183" t="s">
        <v>235</v>
      </c>
      <c r="G15" s="162" t="str">
        <f t="shared" si="1"/>
        <v>Sprayer  600-750 gal 60' 175 hp</v>
      </c>
      <c r="H15" s="246">
        <v>193000</v>
      </c>
      <c r="I15" s="28">
        <v>9</v>
      </c>
      <c r="J15" s="32">
        <v>60</v>
      </c>
      <c r="K15" s="31">
        <v>12</v>
      </c>
      <c r="L15" s="30">
        <v>65</v>
      </c>
      <c r="M15" s="221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1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3">
        <f t="shared" si="14"/>
        <v>89.110857142857142</v>
      </c>
    </row>
    <row r="16" spans="1:36" x14ac:dyDescent="0.2">
      <c r="A16" s="220">
        <v>104</v>
      </c>
      <c r="B16" s="220" t="str">
        <f t="shared" si="0"/>
        <v>0.21, Sprayer  600-825 gal 80' 175 hp</v>
      </c>
      <c r="C16" s="162">
        <v>0.21</v>
      </c>
      <c r="D16" s="162" t="s">
        <v>442</v>
      </c>
      <c r="E16" s="183" t="s">
        <v>217</v>
      </c>
      <c r="F16" s="183" t="s">
        <v>236</v>
      </c>
      <c r="G16" s="162" t="str">
        <f t="shared" si="1"/>
        <v>Sprayer  600-825 gal 80' 175 hp</v>
      </c>
      <c r="H16" s="24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1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1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3">
        <f t="shared" si="14"/>
        <v>93.266285714285715</v>
      </c>
    </row>
    <row r="17" spans="1:33" x14ac:dyDescent="0.2">
      <c r="A17" s="220">
        <v>31</v>
      </c>
      <c r="B17" s="220" t="str">
        <f t="shared" si="0"/>
        <v>0.22, Sprayer  600-825 gal 90' 250 hp</v>
      </c>
      <c r="C17" s="162">
        <v>0.22</v>
      </c>
      <c r="D17" s="162" t="s">
        <v>442</v>
      </c>
      <c r="E17" s="183" t="s">
        <v>217</v>
      </c>
      <c r="F17" s="183" t="s">
        <v>237</v>
      </c>
      <c r="G17" s="162" t="str">
        <f t="shared" si="1"/>
        <v>Sprayer  600-825 gal 90' 250 hp</v>
      </c>
      <c r="H17" s="246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1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1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3">
        <f t="shared" si="14"/>
        <v>126.048</v>
      </c>
    </row>
    <row r="18" spans="1:33" x14ac:dyDescent="0.2">
      <c r="A18" s="220">
        <v>93</v>
      </c>
      <c r="B18" s="220" t="str">
        <f t="shared" si="0"/>
        <v>0.23, Sprayer  800 gal 80' 250 hp</v>
      </c>
      <c r="C18" s="162">
        <v>0.23</v>
      </c>
      <c r="D18" s="162" t="s">
        <v>442</v>
      </c>
      <c r="E18" s="183" t="s">
        <v>218</v>
      </c>
      <c r="F18" s="183" t="s">
        <v>238</v>
      </c>
      <c r="G18" s="162" t="str">
        <f t="shared" si="1"/>
        <v>Sprayer  800 gal 80' 250 hp</v>
      </c>
      <c r="H18" s="246">
        <v>261000</v>
      </c>
      <c r="I18" s="28">
        <v>12.8681</v>
      </c>
      <c r="J18" s="32">
        <v>80</v>
      </c>
      <c r="K18" s="31">
        <v>12</v>
      </c>
      <c r="L18" s="30">
        <v>65</v>
      </c>
      <c r="M18" s="221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1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3">
        <f t="shared" si="14"/>
        <v>120.50742857142856</v>
      </c>
    </row>
    <row r="19" spans="1:33" x14ac:dyDescent="0.2">
      <c r="A19" s="220">
        <v>56</v>
      </c>
      <c r="B19" s="220" t="str">
        <f t="shared" si="0"/>
        <v>0.24, Sprayer  800 gal 100' 250 hp</v>
      </c>
      <c r="C19" s="162">
        <v>0.24</v>
      </c>
      <c r="D19" s="162" t="s">
        <v>442</v>
      </c>
      <c r="E19" s="183" t="s">
        <v>218</v>
      </c>
      <c r="F19" s="183" t="s">
        <v>239</v>
      </c>
      <c r="G19" s="162" t="str">
        <f t="shared" si="1"/>
        <v>Sprayer  800 gal 100' 250 hp</v>
      </c>
      <c r="H19" s="246">
        <v>250000</v>
      </c>
      <c r="I19" s="28">
        <v>14.154</v>
      </c>
      <c r="J19" s="32">
        <v>100</v>
      </c>
      <c r="K19" s="31">
        <v>12</v>
      </c>
      <c r="L19" s="30">
        <v>65</v>
      </c>
      <c r="M19" s="221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1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3">
        <f t="shared" si="14"/>
        <v>115.42857142857143</v>
      </c>
    </row>
    <row r="20" spans="1:33" x14ac:dyDescent="0.2">
      <c r="A20" s="220">
        <v>101</v>
      </c>
      <c r="B20" s="220" t="str">
        <f t="shared" si="0"/>
        <v>0.25, Sprayer 1000-1400 gal 90' 275 hp</v>
      </c>
      <c r="C20" s="162">
        <v>0.25</v>
      </c>
      <c r="D20" s="162" t="s">
        <v>442</v>
      </c>
      <c r="E20" s="183" t="s">
        <v>219</v>
      </c>
      <c r="F20" s="183" t="s">
        <v>240</v>
      </c>
      <c r="G20" s="162" t="str">
        <f t="shared" si="1"/>
        <v>Sprayer 1000-1400 gal 90' 275 hp</v>
      </c>
      <c r="H20" s="246">
        <v>294000</v>
      </c>
      <c r="I20" s="28">
        <v>14.154</v>
      </c>
      <c r="J20" s="32">
        <v>90</v>
      </c>
      <c r="K20" s="31">
        <v>12</v>
      </c>
      <c r="L20" s="30">
        <v>65</v>
      </c>
      <c r="M20" s="221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1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3">
        <f t="shared" si="14"/>
        <v>135.744</v>
      </c>
    </row>
    <row r="21" spans="1:33" x14ac:dyDescent="0.2">
      <c r="A21" s="220">
        <v>103</v>
      </c>
      <c r="B21" s="220" t="str">
        <f t="shared" si="0"/>
        <v>0.26, Sprayer 1000 gal 100' 300 hp</v>
      </c>
      <c r="C21" s="162">
        <v>0.26</v>
      </c>
      <c r="D21" s="162" t="s">
        <v>442</v>
      </c>
      <c r="E21" s="183" t="s">
        <v>220</v>
      </c>
      <c r="F21" s="183" t="s">
        <v>241</v>
      </c>
      <c r="G21" s="162" t="str">
        <f t="shared" si="1"/>
        <v>Sprayer 1000 gal 100' 300 hp</v>
      </c>
      <c r="H21" s="246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1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1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3">
        <f t="shared" si="14"/>
        <v>142.208</v>
      </c>
    </row>
    <row r="22" spans="1:33" x14ac:dyDescent="0.2">
      <c r="A22" s="220">
        <v>87</v>
      </c>
      <c r="B22" s="220" t="str">
        <f t="shared" si="0"/>
        <v>0.27, Sprayer 1200+ gal 120' 300 hp</v>
      </c>
      <c r="C22" s="162">
        <v>0.27</v>
      </c>
      <c r="D22" s="162" t="s">
        <v>442</v>
      </c>
      <c r="E22" s="183" t="s">
        <v>221</v>
      </c>
      <c r="F22" s="183" t="s">
        <v>242</v>
      </c>
      <c r="G22" s="162" t="str">
        <f t="shared" si="1"/>
        <v>Sprayer 1200+ gal 120' 300 hp</v>
      </c>
      <c r="H22" s="246">
        <v>343000</v>
      </c>
      <c r="I22" s="28">
        <v>15.442</v>
      </c>
      <c r="J22" s="32">
        <v>120</v>
      </c>
      <c r="K22" s="31">
        <v>12</v>
      </c>
      <c r="L22" s="30">
        <v>65</v>
      </c>
      <c r="M22" s="221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1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3">
        <f t="shared" si="14"/>
        <v>158.36799999999999</v>
      </c>
    </row>
    <row r="23" spans="1:33" x14ac:dyDescent="0.2">
      <c r="A23" s="220">
        <v>83</v>
      </c>
      <c r="B23" s="220" t="str">
        <f t="shared" si="0"/>
        <v>0.28, Utility Vehicle 75" rope wic</v>
      </c>
      <c r="C23" s="162">
        <v>0.28000000000000003</v>
      </c>
      <c r="D23" s="162" t="s">
        <v>442</v>
      </c>
      <c r="E23" s="183" t="s">
        <v>210</v>
      </c>
      <c r="F23" s="183" t="s">
        <v>243</v>
      </c>
      <c r="G23" s="162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1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3">
        <f t="shared" si="14"/>
        <v>7.8375999999999983</v>
      </c>
    </row>
    <row r="24" spans="1:33" x14ac:dyDescent="0.2">
      <c r="A24" s="220">
        <v>54</v>
      </c>
      <c r="B24" s="220" t="str">
        <f t="shared" si="0"/>
        <v>0.29, Utility Vehicle 20'</v>
      </c>
      <c r="C24" s="162">
        <v>0.28999999999999998</v>
      </c>
      <c r="D24" s="162" t="s">
        <v>442</v>
      </c>
      <c r="E24" s="183" t="s">
        <v>210</v>
      </c>
      <c r="F24" s="183" t="s">
        <v>8</v>
      </c>
      <c r="G24" s="162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1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3">
        <f t="shared" si="14"/>
        <v>9.8575999999999979</v>
      </c>
    </row>
    <row r="25" spans="1:33" x14ac:dyDescent="0.2">
      <c r="D25" s="162" t="s">
        <v>442</v>
      </c>
      <c r="G25" s="162" t="str">
        <f t="shared" si="1"/>
        <v/>
      </c>
    </row>
    <row r="26" spans="1:33" x14ac:dyDescent="0.2">
      <c r="D26" s="162" t="s">
        <v>442</v>
      </c>
      <c r="G26" s="162" t="str">
        <f t="shared" si="1"/>
        <v/>
      </c>
    </row>
    <row r="27" spans="1:33" x14ac:dyDescent="0.2">
      <c r="D27" s="162" t="s">
        <v>442</v>
      </c>
      <c r="G27" s="162" t="str">
        <f t="shared" si="1"/>
        <v/>
      </c>
    </row>
    <row r="28" spans="1:33" x14ac:dyDescent="0.2">
      <c r="D28" s="162" t="s">
        <v>442</v>
      </c>
      <c r="G28" s="162" t="str">
        <f t="shared" si="1"/>
        <v/>
      </c>
    </row>
    <row r="29" spans="1:33" x14ac:dyDescent="0.2">
      <c r="D29" s="162" t="s">
        <v>442</v>
      </c>
      <c r="G29" s="162" t="str">
        <f t="shared" si="1"/>
        <v/>
      </c>
    </row>
    <row r="30" spans="1:33" x14ac:dyDescent="0.2">
      <c r="D30" s="162" t="s">
        <v>442</v>
      </c>
      <c r="G30" s="162" t="str">
        <f t="shared" si="1"/>
        <v/>
      </c>
    </row>
    <row r="31" spans="1:33" x14ac:dyDescent="0.2">
      <c r="D31" s="162" t="s">
        <v>442</v>
      </c>
      <c r="G31" s="162" t="str">
        <f t="shared" si="1"/>
        <v/>
      </c>
    </row>
    <row r="32" spans="1:33" x14ac:dyDescent="0.2">
      <c r="D32" s="162" t="s">
        <v>442</v>
      </c>
      <c r="G32" s="162" t="str">
        <f t="shared" si="1"/>
        <v/>
      </c>
    </row>
    <row r="33" spans="4:7" s="220" customFormat="1" x14ac:dyDescent="0.2">
      <c r="D33" s="162" t="s">
        <v>442</v>
      </c>
      <c r="E33" s="162"/>
      <c r="F33" s="162"/>
      <c r="G33" s="162" t="str">
        <f t="shared" si="1"/>
        <v/>
      </c>
    </row>
    <row r="34" spans="4:7" s="220" customFormat="1" x14ac:dyDescent="0.2">
      <c r="D34" s="162" t="s">
        <v>442</v>
      </c>
      <c r="E34" s="162"/>
      <c r="F34" s="162"/>
      <c r="G34" s="162" t="str">
        <f t="shared" si="1"/>
        <v/>
      </c>
    </row>
    <row r="35" spans="4:7" s="220" customFormat="1" x14ac:dyDescent="0.2">
      <c r="D35" s="162" t="s">
        <v>442</v>
      </c>
      <c r="E35" s="162"/>
      <c r="F35" s="162"/>
      <c r="G35" s="162" t="str">
        <f t="shared" si="1"/>
        <v/>
      </c>
    </row>
    <row r="36" spans="4:7" s="220" customFormat="1" x14ac:dyDescent="0.2">
      <c r="D36" s="162" t="s">
        <v>442</v>
      </c>
      <c r="E36" s="162"/>
      <c r="F36" s="162"/>
      <c r="G36" s="162" t="str">
        <f t="shared" si="1"/>
        <v/>
      </c>
    </row>
    <row r="37" spans="4:7" s="220" customFormat="1" x14ac:dyDescent="0.2">
      <c r="D37" s="162"/>
      <c r="E37" s="162"/>
      <c r="F37" s="162"/>
      <c r="G37" s="162"/>
    </row>
    <row r="38" spans="4:7" s="220" customFormat="1" x14ac:dyDescent="0.2">
      <c r="D38" s="162"/>
      <c r="E38" s="162"/>
      <c r="F38" s="162"/>
      <c r="G38" s="162"/>
    </row>
    <row r="39" spans="4:7" s="220" customFormat="1" x14ac:dyDescent="0.2">
      <c r="D39" s="162"/>
      <c r="E39" s="162"/>
      <c r="F39" s="162"/>
      <c r="G39" s="162"/>
    </row>
    <row r="40" spans="4:7" s="220" customFormat="1" x14ac:dyDescent="0.2">
      <c r="D40" s="162"/>
      <c r="E40" s="162"/>
      <c r="F40" s="162"/>
      <c r="G40" s="162"/>
    </row>
    <row r="41" spans="4:7" s="220" customFormat="1" x14ac:dyDescent="0.2">
      <c r="D41" s="162"/>
      <c r="E41" s="162"/>
      <c r="F41" s="162"/>
      <c r="G41" s="162"/>
    </row>
    <row r="42" spans="4:7" s="220" customFormat="1" x14ac:dyDescent="0.2">
      <c r="D42" s="162"/>
      <c r="E42" s="162"/>
      <c r="F42" s="162"/>
      <c r="G42" s="162"/>
    </row>
    <row r="43" spans="4:7" s="220" customFormat="1" x14ac:dyDescent="0.2">
      <c r="D43" s="162"/>
      <c r="E43" s="162"/>
      <c r="F43" s="162"/>
      <c r="G43" s="162"/>
    </row>
    <row r="44" spans="4:7" s="220" customFormat="1" x14ac:dyDescent="0.2">
      <c r="D44" s="162"/>
      <c r="E44" s="162"/>
      <c r="F44" s="162"/>
      <c r="G44" s="16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2014-01-13T20:57:48Z</cp:lastPrinted>
  <dcterms:created xsi:type="dcterms:W3CDTF">2010-11-24T19:49:39Z</dcterms:created>
  <dcterms:modified xsi:type="dcterms:W3CDTF">2017-12-04T19:17:22Z</dcterms:modified>
</cp:coreProperties>
</file>