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H" sheetId="10" r:id="rId10"/>
    <sheet name="N" sheetId="11" r:id="rId11"/>
  </sheets>
  <definedNames>
    <definedName name="\AUTOEXEC">'Bud'!$U$143:$U$145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'Bud'!$O$143:$O$183</definedName>
    <definedName name="\VARIABLE">'N'!$H$1:$H$4</definedName>
    <definedName name="\X">'Bud'!$F$140:$F$180</definedName>
    <definedName name="\Y">'Bud'!$L$142:$L$182</definedName>
    <definedName name="\Z">'Bud'!$R$143:$R$183</definedName>
    <definedName name="ENR">'Bud'!$O$98:$O$98</definedName>
    <definedName name="ENR_MNR">'Bud'!$O$98:$O$98</definedName>
    <definedName name="ETR">'Bud'!$M$97:$M$97</definedName>
    <definedName name="EXPP">'Bud'!$O$79:$O$79</definedName>
    <definedName name="EXPY">'Bud'!$M$79:$M$79</definedName>
    <definedName name="MEDP">'Bud'!$G$18:$G$18</definedName>
    <definedName name="MEDY">'Bud'!$G$17:$G$17</definedName>
    <definedName name="MNR">'Bud'!$M$99:$M$99</definedName>
    <definedName name="MTC">'Bud'!$O$97:$O$97</definedName>
    <definedName name="MTCV">'Bud'!$O$97:$O$97</definedName>
    <definedName name="MTR">'Bud'!$M$98:$M$98</definedName>
    <definedName name="STRHH">'Bud'!$M$93:$M$93</definedName>
    <definedName name="STRHL">'Bud'!$M$94:$M$94</definedName>
    <definedName name="STRLH">'Bud'!$O$94:$O$94</definedName>
    <definedName name="STRLL">'Bud'!$O$93:$O$93</definedName>
    <definedName name="STRO">'Bud'!$M$95:$M$95</definedName>
    <definedName name="STRP">'Bud'!$O$95:$O$95</definedName>
    <definedName name="UNIT">'Bud'!$I$13:$I$13</definedName>
    <definedName name="UNITCOST">'Bud'!$I$59:$I$59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<sst xmlns="http://schemas.openxmlformats.org/spreadsheetml/2006/main" count="687" uniqueCount="340">
  <si>
    <t/>
  </si>
  <si>
    <t>-</t>
  </si>
  <si>
    <t xml:space="preserve"> 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</si>
  <si>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</si>
  <si>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</si>
  <si>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</si>
  <si>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</si>
  <si>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</si>
  <si>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</si>
  <si>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</si>
  <si>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</si>
  <si>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</si>
  <si>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</si>
  <si>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</si>
  <si>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</si>
  <si>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</si>
  <si>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</si>
  <si>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</si>
  <si>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</si>
  <si>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</si>
  <si>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</si>
  <si>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</si>
  <si>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</si>
  <si>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</si>
  <si>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</si>
  <si>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</si>
  <si>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</si>
  <si>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</si>
  <si>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</si>
  <si>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</si>
  <si>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</si>
  <si>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</si>
  <si>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</si>
  <si>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</si>
  <si>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</si>
  <si>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</si>
  <si>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</si>
  <si>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</si>
  <si>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</si>
  <si>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</si>
  <si>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</si>
  <si>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</si>
  <si>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</si>
  <si>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</si>
  <si>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</si>
  <si>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</si>
  <si>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</si>
  <si>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</si>
  <si>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</si>
  <si>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</si>
  <si>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</si>
  <si>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</si>
  <si>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</si>
  <si>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</si>
  <si>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</si>
  <si>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</si>
  <si>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</si>
  <si>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Rep &amp; maint.+ irrigation</t>
  </si>
  <si>
    <t xml:space="preserve"> Repair &amp; Maintenance</t>
  </si>
  <si>
    <t xml:space="preserve"> Rotary Mower</t>
  </si>
  <si>
    <t xml:space="preserve"> Rotary Mower(15')</t>
  </si>
  <si>
    <t xml:space="preserve"> Shake</t>
  </si>
  <si>
    <t xml:space="preserve"> Sprayer,airblast</t>
  </si>
  <si>
    <t xml:space="preserve"> Sprayer:</t>
  </si>
  <si>
    <t xml:space="preserve"> Sweep</t>
  </si>
  <si>
    <t>$</t>
  </si>
  <si>
    <t>$Amt/ac</t>
  </si>
  <si>
    <t>%</t>
  </si>
  <si>
    <t>($)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</si>
  <si>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</si>
  <si>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</si>
  <si>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</si>
  <si>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</si>
  <si>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</si>
  <si>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</si>
  <si>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</si>
  <si>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</si>
  <si>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</si>
  <si>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</si>
  <si>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</si>
  <si>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</si>
  <si>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</si>
  <si>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</si>
  <si>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</si>
  <si>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</si>
  <si>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</si>
  <si>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</si>
  <si>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</si>
  <si>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</si>
  <si>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</si>
  <si>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</si>
  <si>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</si>
  <si>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</si>
  <si>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</si>
  <si>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</si>
  <si>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</si>
  <si>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</si>
  <si>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</si>
  <si>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</si>
  <si>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</si>
  <si>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</si>
  <si>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</si>
  <si>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 xml:space="preserve">Blower 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</si>
  <si>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</si>
  <si>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</si>
  <si>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</si>
  <si>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</si>
  <si>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</si>
  <si>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</si>
  <si>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</si>
  <si>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</si>
  <si>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</si>
  <si>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</si>
  <si>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</si>
  <si>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</si>
  <si>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</si>
  <si>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</si>
  <si>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</si>
  <si>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</si>
  <si>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</si>
  <si>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</si>
  <si>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</si>
  <si>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</si>
  <si>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</si>
  <si>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</si>
  <si>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</si>
  <si>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</si>
  <si>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</si>
  <si>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</si>
  <si>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</si>
  <si>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</si>
  <si>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</si>
  <si>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</si>
  <si>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</si>
  <si>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</si>
  <si>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</si>
  <si>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</si>
  <si>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</si>
  <si>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</si>
  <si>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Harvester</t>
  </si>
  <si>
    <t xml:space="preserve">Harvesting (shake, sweep, haul) 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</si>
  <si>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</si>
  <si>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</si>
  <si>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</si>
  <si>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</si>
  <si>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</si>
  <si>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</si>
  <si>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</si>
  <si>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</si>
  <si>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</si>
  <si>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</si>
  <si>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</si>
  <si>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</si>
  <si>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</si>
  <si>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</si>
  <si>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</si>
  <si>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</si>
  <si>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</si>
  <si>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</si>
  <si>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</si>
  <si>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</si>
  <si>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</si>
  <si>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</si>
  <si>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</si>
  <si>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</si>
  <si>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</si>
  <si>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</si>
  <si>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</si>
  <si>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</si>
  <si>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</si>
  <si>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</si>
  <si>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</si>
  <si>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</si>
  <si>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</si>
  <si>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</si>
  <si>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</si>
  <si>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</si>
  <si>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</si>
  <si>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</si>
  <si>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</si>
  <si>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</si>
  <si>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</si>
  <si>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</si>
  <si>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</si>
  <si>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</si>
  <si>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</si>
  <si>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</si>
  <si>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</si>
  <si>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</si>
  <si>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</si>
  <si>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</si>
  <si>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</si>
  <si>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</si>
  <si>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Price</t>
  </si>
  <si>
    <t>PRICE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</si>
  <si>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</si>
  <si>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</si>
  <si>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</si>
  <si>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</si>
  <si>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</si>
  <si>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</si>
  <si>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</si>
  <si>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</si>
  <si>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</si>
  <si>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</si>
  <si>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</si>
  <si>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</si>
  <si>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</si>
  <si>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Shaker</t>
  </si>
  <si>
    <t>SPACING</t>
  </si>
  <si>
    <t>Speed</t>
  </si>
  <si>
    <t>Spray material</t>
  </si>
  <si>
    <t>Sweeper(2)**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</si>
  <si>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</si>
  <si>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</si>
  <si>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</si>
  <si>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</si>
  <si>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</si>
  <si>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</si>
  <si>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</si>
  <si>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</si>
  <si>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</si>
  <si>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</si>
  <si>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</si>
  <si>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</si>
  <si>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</si>
  <si>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Cost</t>
  </si>
  <si>
    <t>Total Establishment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</si>
  <si>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</si>
  <si>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</si>
  <si>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</si>
  <si>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</si>
  <si>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</si>
  <si>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</si>
  <si>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</si>
  <si>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</si>
  <si>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</si>
  <si>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</si>
  <si>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</si>
  <si>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</si>
  <si>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</si>
  <si>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</si>
  <si>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Truck</t>
  </si>
  <si>
    <t>Unit</t>
  </si>
  <si>
    <t>UNIT</t>
  </si>
  <si>
    <t>Use</t>
  </si>
  <si>
    <t>Used</t>
  </si>
  <si>
    <t>Value</t>
  </si>
  <si>
    <t>Var. Cost</t>
  </si>
  <si>
    <t>Variable Costs</t>
  </si>
  <si>
    <t>VOLUME</t>
  </si>
  <si>
    <t>Wagons(4 used)</t>
  </si>
  <si>
    <t>Width</t>
  </si>
  <si>
    <t>Worst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</si>
  <si>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</si>
  <si>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</si>
  <si>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</si>
  <si>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</si>
  <si>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</si>
  <si>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</si>
  <si>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</si>
  <si>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</si>
  <si>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>Dump carts</t>
  </si>
  <si>
    <t xml:space="preserve">Insecticide </t>
  </si>
  <si>
    <t>Land rent 1/-</t>
  </si>
  <si>
    <t xml:space="preserve">1/-  Land rents vary from $100 - $300 in Georgia.  It depends on whether it is irrigated or not. </t>
  </si>
  <si>
    <t xml:space="preserve"> Fuel &amp; Oil</t>
  </si>
  <si>
    <t>Irrigation (electricity)</t>
  </si>
  <si>
    <t>Limb rake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</si>
  <si>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</si>
  <si>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</si>
  <si>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</si>
  <si>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</si>
  <si>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</si>
  <si>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</si>
  <si>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</si>
  <si>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</si>
  <si>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FMO Commission</t>
  </si>
  <si>
    <t>Trees (40 x 40)  2/-</t>
  </si>
  <si>
    <t>3/-  Land lease vary from $100 - $300 depending on many factors such as irrigated or not.</t>
  </si>
  <si>
    <t>Land Lease 3/-</t>
  </si>
  <si>
    <t>Alion</t>
  </si>
  <si>
    <t>RU</t>
  </si>
  <si>
    <t>Lorsban</t>
  </si>
  <si>
    <t xml:space="preserve">Total </t>
  </si>
  <si>
    <t>Total Chemicals</t>
  </si>
  <si>
    <t>GA Pecan Commission</t>
  </si>
  <si>
    <t>Total Fixed Costs ($)</t>
  </si>
  <si>
    <t>Total budgeted cost per acre ($)</t>
  </si>
  <si>
    <t xml:space="preserve"> per lb ($)</t>
  </si>
  <si>
    <t>Opt.</t>
  </si>
  <si>
    <t>1000 Lbs</t>
  </si>
  <si>
    <t>1st. Year Estimated Establishment And Maintenance</t>
  </si>
  <si>
    <t>2/-  No. of trees depend on planting distances, i.e. 40 x 40 fts = 27 trees; 50 x 25 = 35 trees; 40 x 20 = 55 trees; 60 x 30 = 24 trees</t>
  </si>
  <si>
    <t>TOTAL COSTS (TC)</t>
  </si>
  <si>
    <t>TOTAL FIXED COSTS (TFC)</t>
  </si>
  <si>
    <t>GROWERS ARE EXPECTED TO INPUT THEIR ACTUAL DATA HERE</t>
  </si>
  <si>
    <t>TOTAL FIXED COSTS ($)</t>
  </si>
  <si>
    <t>FIXED COSTS per ACRE ($)</t>
  </si>
  <si>
    <t>Tractor (Hp 120)</t>
  </si>
  <si>
    <t>Tractor (Hp 90)</t>
  </si>
  <si>
    <t xml:space="preserve"> Sprayer,herbicide*</t>
  </si>
  <si>
    <t>of Profit</t>
  </si>
  <si>
    <t xml:space="preserve">                         BASE BUDGETED NET REVENUE  ($) =</t>
  </si>
  <si>
    <t>EXAMPLE OF CHEMICALS FOR PECANS</t>
  </si>
  <si>
    <t xml:space="preserve">                                                                      'ESTIMATING MACHINERY OPERATING COSTS FOR PECANS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</si>
  <si>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</si>
  <si>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</si>
  <si>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</si>
  <si>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</si>
  <si>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</si>
  <si>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Cost Per Acre For Georgia Pecans, 2019</t>
  </si>
  <si>
    <t xml:space="preserve">2nd Through 4th Years, Georgia Pecans, 2019 </t>
  </si>
  <si>
    <t>5th Through 7th Years, Georgia Pecans,  2019</t>
  </si>
  <si>
    <t>DRIP IRRIGATION FOR PECANS - 2019</t>
  </si>
  <si>
    <t>ESTIMATED TOTAL ANNUAL FIXED MACHINERY COSTS FOR PECANS - 2019</t>
  </si>
  <si>
    <t>2019 - Pecan Budget - High Input Growers</t>
  </si>
  <si>
    <t>Prepared by:</t>
  </si>
  <si>
    <t>Esendugue Greg Fonsah, Lenny Wells, Will Hudson and Doug Collins</t>
  </si>
  <si>
    <t>UGA Ext. Ag. Econ. Dept., Hort. Dept., and Ext. Coordinator, Lee Co.</t>
  </si>
  <si>
    <t>INPUT DATA: Your values in the unprotected or highlighted cells</t>
  </si>
  <si>
    <t>(Variable Cost Budget)</t>
  </si>
  <si>
    <t>Number of acres =</t>
  </si>
  <si>
    <t>BEST</t>
  </si>
  <si>
    <t>OPT</t>
  </si>
  <si>
    <t>MEDIAN</t>
  </si>
  <si>
    <t>PESS</t>
  </si>
  <si>
    <t>WORST</t>
  </si>
  <si>
    <t>Yield (lbs)</t>
  </si>
  <si>
    <t>Price per lb.</t>
  </si>
  <si>
    <t>Yours</t>
  </si>
  <si>
    <t>Prehharvest variable cost per lb ($).</t>
  </si>
  <si>
    <t xml:space="preserve">Fixed costs                 </t>
  </si>
  <si>
    <t>Yields (Lbs.)</t>
  </si>
  <si>
    <t>Harvest &amp; marketing cost per lb ($).</t>
  </si>
  <si>
    <t>RISK RATED RETURNS OVER TOTAL COSTS</t>
  </si>
  <si>
    <t>Returns($)</t>
  </si>
  <si>
    <t xml:space="preserve">  %Chance</t>
  </si>
  <si>
    <t>$-Price/lb</t>
  </si>
  <si>
    <t xml:space="preserve">                   Sensitivity Analysis and Returns for Price and Yield over Total Cost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</si>
</sst>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25"/>
      <name val="Arial"/>
      <family val="2"/>
    </font>
    <font>
      <b/>
      <sz val="16"/>
      <color indexed="10"/>
      <name val="Arial"/>
      <family val="2"/>
    </font>
    <font>
      <b/>
      <sz val="12"/>
      <color indexed="26"/>
      <name val="Arial"/>
      <family val="2"/>
    </font>
    <font>
      <sz val="10"/>
      <color indexed="26"/>
      <name val="Arial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B050"/>
      <name val="Arial"/>
      <family val="2"/>
    </font>
    <font>
      <b/>
      <sz val="16"/>
      <color rgb="FFFF0000"/>
      <name val="Arial"/>
      <family val="2"/>
    </font>
    <font>
      <sz val="10"/>
      <color rgb="FFA50021"/>
      <name val="Arial"/>
      <family val="2"/>
    </font>
    <font>
      <sz val="10"/>
      <color rgb="FF0070C0"/>
      <name val="Arial"/>
      <family val="2"/>
    </font>
    <font>
      <b/>
      <sz val="12"/>
      <color rgb="FFA50021"/>
      <name val="Arial"/>
      <family val="2"/>
    </font>
    <font>
      <b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5" fillId="2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4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54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8" fontId="0" fillId="2" borderId="10" xfId="0" applyNumberFormat="1" applyFill="1" applyBorder="1" applyAlignment="1">
      <alignment/>
    </xf>
    <xf numFmtId="9" fontId="0" fillId="2" borderId="10" xfId="0" applyNumberFormat="1" applyFill="1" applyBorder="1" applyAlignment="1">
      <alignment/>
    </xf>
    <xf numFmtId="2" fontId="54" fillId="2" borderId="10" xfId="0" applyNumberFormat="1" applyFont="1" applyFill="1" applyBorder="1" applyAlignment="1">
      <alignment/>
    </xf>
    <xf numFmtId="8" fontId="0" fillId="2" borderId="10" xfId="0" applyNumberFormat="1" applyFont="1" applyFill="1" applyBorder="1" applyAlignment="1">
      <alignment/>
    </xf>
    <xf numFmtId="9" fontId="54" fillId="2" borderId="10" xfId="0" applyNumberFormat="1" applyFont="1" applyFill="1" applyBorder="1" applyAlignment="1">
      <alignment/>
    </xf>
    <xf numFmtId="8" fontId="54" fillId="2" borderId="1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56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0" fontId="57" fillId="2" borderId="0" xfId="0" applyFont="1" applyFill="1" applyBorder="1" applyAlignment="1">
      <alignment horizontal="center"/>
    </xf>
    <xf numFmtId="3" fontId="55" fillId="2" borderId="0" xfId="0" applyNumberFormat="1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57" fillId="2" borderId="0" xfId="0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2" fontId="4" fillId="2" borderId="0" xfId="0" applyNumberFormat="1" applyFont="1" applyFill="1" applyAlignment="1">
      <alignment/>
    </xf>
    <xf numFmtId="2" fontId="2" fillId="2" borderId="15" xfId="0" applyNumberFormat="1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Continuous"/>
    </xf>
    <xf numFmtId="2" fontId="2" fillId="2" borderId="16" xfId="0" applyNumberFormat="1" applyFont="1" applyFill="1" applyBorder="1" applyAlignment="1">
      <alignment horizontal="centerContinuous"/>
    </xf>
    <xf numFmtId="2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2" fontId="2" fillId="2" borderId="17" xfId="0" applyNumberFormat="1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/>
    </xf>
    <xf numFmtId="2" fontId="2" fillId="2" borderId="19" xfId="0" applyNumberFormat="1" applyFont="1" applyFill="1" applyBorder="1" applyAlignment="1">
      <alignment horizontal="centerContinuous"/>
    </xf>
    <xf numFmtId="0" fontId="58" fillId="2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3" fontId="59" fillId="36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right"/>
    </xf>
    <xf numFmtId="164" fontId="0" fillId="2" borderId="20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2" fontId="3" fillId="2" borderId="21" xfId="0" applyNumberFormat="1" applyFont="1" applyFill="1" applyBorder="1" applyAlignment="1">
      <alignment horizontal="right"/>
    </xf>
    <xf numFmtId="1" fontId="3" fillId="2" borderId="21" xfId="0" applyNumberFormat="1" applyFont="1" applyFill="1" applyBorder="1" applyAlignment="1">
      <alignment horizontal="right"/>
    </xf>
    <xf numFmtId="164" fontId="0" fillId="2" borderId="21" xfId="0" applyNumberForma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164" fontId="0" fillId="2" borderId="22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3" xfId="0" applyFill="1" applyBorder="1" applyAlignment="1">
      <alignment horizontal="center"/>
    </xf>
    <xf numFmtId="3" fontId="6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61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2" fontId="2" fillId="2" borderId="18" xfId="0" applyNumberFormat="1" applyFont="1" applyFill="1" applyBorder="1" applyAlignment="1">
      <alignment horizontal="centerContinuous"/>
    </xf>
    <xf numFmtId="0" fontId="0" fillId="2" borderId="17" xfId="0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118</xdr:row>
      <xdr:rowOff>0</xdr:rowOff>
    </xdr:from>
    <xdr:to>
      <xdr:col>9</xdr:col>
      <xdr:colOff>381000</xdr:colOff>
      <xdr:row>120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13931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7</xdr:col>
      <xdr:colOff>428625</xdr:colOff>
      <xdr:row>43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6103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7</xdr:col>
      <xdr:colOff>228600</xdr:colOff>
      <xdr:row>39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9626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180975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245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38</xdr:row>
      <xdr:rowOff>0</xdr:rowOff>
    </xdr:from>
    <xdr:to>
      <xdr:col>7</xdr:col>
      <xdr:colOff>466725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674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40</xdr:row>
      <xdr:rowOff>0</xdr:rowOff>
    </xdr:from>
    <xdr:to>
      <xdr:col>9</xdr:col>
      <xdr:colOff>28575</xdr:colOff>
      <xdr:row>43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6572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3915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32</xdr:row>
      <xdr:rowOff>0</xdr:rowOff>
    </xdr:from>
    <xdr:to>
      <xdr:col>7</xdr:col>
      <xdr:colOff>295275</xdr:colOff>
      <xdr:row>35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2197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Q169"/>
  <sheetViews>
    <sheetView tabSelected="1" zoomScalePageLayoutView="0" workbookViewId="0" topLeftCell="A1">
      <selection activeCell="A101" sqref="A101:IV101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8.7109375" style="1" customWidth="1"/>
    <col min="4" max="4" width="8.421875" style="1" customWidth="1"/>
    <col min="5" max="5" width="8.7109375" style="1" customWidth="1"/>
    <col min="6" max="6" width="10.421875" style="1" customWidth="1"/>
    <col min="7" max="7" width="9.140625" style="1" customWidth="1"/>
    <col min="8" max="8" width="10.421875" style="1" customWidth="1"/>
    <col min="9" max="9" width="9.00390625" style="1" customWidth="1"/>
    <col min="10" max="10" width="11.7109375" style="1" customWidth="1"/>
    <col min="11" max="11" width="7.28125" style="1" customWidth="1"/>
    <col min="12" max="12" width="11.7109375" style="164" customWidth="1"/>
    <col min="13" max="17" width="9.140625" style="70" customWidth="1"/>
    <col min="18" max="19" width="7.7109375" style="70" customWidth="1"/>
    <col min="20" max="31" width="9.140625" style="70" customWidth="1"/>
    <col min="32" max="32" width="3.28125" style="70" customWidth="1"/>
    <col min="33" max="33" width="1.57421875" style="70" customWidth="1"/>
    <col min="34" max="34" width="2.421875" style="70" customWidth="1"/>
    <col min="35" max="35" width="54.7109375" style="70" customWidth="1"/>
    <col min="36" max="36" width="2.421875" style="70" customWidth="1"/>
    <col min="37" max="37" width="1.57421875" style="70" customWidth="1"/>
    <col min="38" max="39" width="9.140625" style="70" customWidth="1"/>
    <col min="40" max="40" width="9.140625" style="69" customWidth="1"/>
    <col min="41" max="16384" width="9.140625" style="1" customWidth="1"/>
  </cols>
  <sheetData>
    <row r="1" spans="1:12" ht="15" customHeight="1">
      <c r="A1" s="152" t="s">
        <v>316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0"/>
    </row>
    <row r="2" spans="1:12" ht="15" customHeight="1">
      <c r="A2" s="152" t="s">
        <v>317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70"/>
    </row>
    <row r="3" spans="1:12" ht="15" customHeight="1">
      <c r="A3" s="152" t="s">
        <v>318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70"/>
    </row>
    <row r="4" spans="1:12" ht="15" customHeight="1">
      <c r="A4" s="152" t="s">
        <v>319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70"/>
    </row>
    <row r="5" spans="1:12" ht="15" customHeight="1">
      <c r="A5" s="123"/>
      <c r="B5" s="123"/>
      <c r="C5" s="124"/>
      <c r="D5" s="124"/>
      <c r="E5" s="124"/>
      <c r="F5" s="124"/>
      <c r="G5" s="124"/>
      <c r="H5" s="124"/>
      <c r="I5" s="124"/>
      <c r="J5" s="125"/>
      <c r="K5" s="124" t="s">
        <v>0</v>
      </c>
      <c r="L5" s="70"/>
    </row>
    <row r="6" spans="1:12" ht="15" customHeight="1">
      <c r="A6" s="113"/>
      <c r="B6" s="167"/>
      <c r="C6" s="114"/>
      <c r="D6" s="114"/>
      <c r="E6" s="115"/>
      <c r="F6" s="115"/>
      <c r="G6" s="115"/>
      <c r="H6" s="115"/>
      <c r="I6" s="115"/>
      <c r="J6" s="116"/>
      <c r="K6" s="112" t="s">
        <v>0</v>
      </c>
      <c r="L6" s="70"/>
    </row>
    <row r="7" spans="1:12" ht="15" customHeight="1">
      <c r="A7" s="113"/>
      <c r="B7" s="167"/>
      <c r="C7" s="118" t="s">
        <v>320</v>
      </c>
      <c r="D7" s="117"/>
      <c r="E7" s="117"/>
      <c r="F7" s="117"/>
      <c r="G7" s="117"/>
      <c r="H7" s="117"/>
      <c r="I7" s="118"/>
      <c r="J7" s="119"/>
      <c r="K7" s="112" t="s">
        <v>0</v>
      </c>
      <c r="L7" s="70"/>
    </row>
    <row r="8" spans="1:12" ht="15" customHeight="1">
      <c r="A8" s="113"/>
      <c r="B8" s="167"/>
      <c r="C8" s="166"/>
      <c r="D8" s="120"/>
      <c r="E8" s="120"/>
      <c r="F8" s="120"/>
      <c r="G8" s="120"/>
      <c r="H8" s="120"/>
      <c r="I8" s="120"/>
      <c r="J8" s="121"/>
      <c r="K8" s="112" t="s">
        <v>0</v>
      </c>
      <c r="L8" s="70"/>
    </row>
    <row r="9" spans="1:12" ht="15" customHeight="1">
      <c r="A9" s="113"/>
      <c r="B9" s="117"/>
      <c r="C9" s="118"/>
      <c r="D9" s="118"/>
      <c r="E9" s="118"/>
      <c r="F9" s="118"/>
      <c r="G9" s="118"/>
      <c r="H9" s="118"/>
      <c r="I9" s="117"/>
      <c r="J9" s="112"/>
      <c r="K9" s="112"/>
      <c r="L9" s="70"/>
    </row>
    <row r="10" spans="1:12" ht="15" customHeight="1">
      <c r="A10" s="70"/>
      <c r="B10" s="70"/>
      <c r="C10" s="70"/>
      <c r="D10" s="71"/>
      <c r="E10" s="122" t="s">
        <v>306</v>
      </c>
      <c r="F10" s="70"/>
      <c r="G10" s="70"/>
      <c r="H10" s="70"/>
      <c r="I10" s="70"/>
      <c r="J10" s="72" t="s">
        <v>0</v>
      </c>
      <c r="K10" s="70" t="s">
        <v>0</v>
      </c>
      <c r="L10" s="70"/>
    </row>
    <row r="11" spans="1:12" ht="1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 customHeight="1">
      <c r="A12" s="70"/>
      <c r="B12" s="70"/>
      <c r="C12" s="70"/>
      <c r="D12" s="70"/>
      <c r="E12" s="87" t="s">
        <v>321</v>
      </c>
      <c r="F12" s="70"/>
      <c r="G12" s="70"/>
      <c r="H12" s="70"/>
      <c r="I12" s="70"/>
      <c r="J12" s="70"/>
      <c r="K12" s="70" t="s">
        <v>0</v>
      </c>
      <c r="L12" s="70"/>
    </row>
    <row r="13" spans="1:12" ht="15" customHeight="1">
      <c r="A13" s="70"/>
      <c r="B13" s="70"/>
      <c r="C13" s="70"/>
      <c r="D13" s="70"/>
      <c r="E13" s="88" t="s">
        <v>322</v>
      </c>
      <c r="F13" s="70"/>
      <c r="G13" s="70"/>
      <c r="H13" s="70"/>
      <c r="I13" s="75">
        <v>1</v>
      </c>
      <c r="J13" s="70"/>
      <c r="K13" s="70" t="s">
        <v>2</v>
      </c>
      <c r="L13" s="70"/>
    </row>
    <row r="14" spans="1:12" ht="15" customHeight="1">
      <c r="A14" s="70"/>
      <c r="B14" s="70"/>
      <c r="C14" s="70"/>
      <c r="D14" s="70" t="s">
        <v>159</v>
      </c>
      <c r="E14" s="70"/>
      <c r="F14" s="70"/>
      <c r="G14" s="70"/>
      <c r="H14" s="70"/>
      <c r="I14" s="75">
        <v>1</v>
      </c>
      <c r="J14" s="70"/>
      <c r="K14" s="70" t="s">
        <v>0</v>
      </c>
      <c r="L14" s="70"/>
    </row>
    <row r="15" spans="1:12" ht="1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 t="s">
        <v>0</v>
      </c>
      <c r="L15" s="70"/>
    </row>
    <row r="16" spans="1:12" ht="15" customHeight="1">
      <c r="A16" s="70"/>
      <c r="B16" s="73"/>
      <c r="C16" s="73"/>
      <c r="D16" s="73"/>
      <c r="E16" s="77" t="s">
        <v>323</v>
      </c>
      <c r="F16" s="77" t="s">
        <v>324</v>
      </c>
      <c r="G16" s="77" t="s">
        <v>325</v>
      </c>
      <c r="H16" s="97" t="s">
        <v>326</v>
      </c>
      <c r="I16" s="97" t="s">
        <v>327</v>
      </c>
      <c r="J16" s="72" t="s">
        <v>0</v>
      </c>
      <c r="K16" s="70" t="s">
        <v>0</v>
      </c>
      <c r="L16" s="70"/>
    </row>
    <row r="17" spans="1:12" ht="15" customHeight="1">
      <c r="A17" s="70"/>
      <c r="B17" s="88" t="s">
        <v>328</v>
      </c>
      <c r="C17" s="70"/>
      <c r="D17" s="70"/>
      <c r="E17" s="127">
        <v>1600</v>
      </c>
      <c r="F17" s="127">
        <v>1300</v>
      </c>
      <c r="G17" s="127">
        <v>1000</v>
      </c>
      <c r="H17" s="127">
        <v>700</v>
      </c>
      <c r="I17" s="127">
        <v>400</v>
      </c>
      <c r="J17" s="70"/>
      <c r="K17" s="70" t="s">
        <v>0</v>
      </c>
      <c r="L17" s="70"/>
    </row>
    <row r="18" spans="1:12" ht="15" customHeight="1">
      <c r="A18" s="70"/>
      <c r="B18" s="88" t="s">
        <v>329</v>
      </c>
      <c r="C18" s="70"/>
      <c r="D18" s="70"/>
      <c r="E18" s="126">
        <v>2.6</v>
      </c>
      <c r="F18" s="126">
        <v>2.3</v>
      </c>
      <c r="G18" s="126">
        <v>2</v>
      </c>
      <c r="H18" s="126">
        <v>1.7</v>
      </c>
      <c r="I18" s="126">
        <v>1.4</v>
      </c>
      <c r="J18" s="70"/>
      <c r="K18" s="70" t="s">
        <v>0</v>
      </c>
      <c r="L18" s="70"/>
    </row>
    <row r="19" spans="1:12" ht="1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 t="s">
        <v>0</v>
      </c>
      <c r="L19" s="70"/>
    </row>
    <row r="20" spans="1:12" ht="15" customHeight="1">
      <c r="A20" s="70"/>
      <c r="B20" s="70"/>
      <c r="C20" s="70"/>
      <c r="D20" s="76" t="s">
        <v>160</v>
      </c>
      <c r="E20" s="76"/>
      <c r="F20" s="76" t="s">
        <v>243</v>
      </c>
      <c r="G20" s="76" t="s">
        <v>197</v>
      </c>
      <c r="H20" s="78" t="s">
        <v>193</v>
      </c>
      <c r="I20" s="80" t="s">
        <v>66</v>
      </c>
      <c r="J20" s="81" t="s">
        <v>222</v>
      </c>
      <c r="K20" s="87" t="s">
        <v>330</v>
      </c>
      <c r="L20" s="70"/>
    </row>
    <row r="21" spans="1:12" ht="15" customHeight="1">
      <c r="A21" s="70"/>
      <c r="B21" s="70" t="s">
        <v>249</v>
      </c>
      <c r="C21" s="70"/>
      <c r="D21" s="70"/>
      <c r="E21" s="70"/>
      <c r="F21" s="70"/>
      <c r="G21" s="70"/>
      <c r="H21" s="70"/>
      <c r="I21" s="70"/>
      <c r="J21" s="70"/>
      <c r="K21" s="70" t="s">
        <v>0</v>
      </c>
      <c r="L21" s="70"/>
    </row>
    <row r="22" spans="1:12" ht="12.75" customHeight="1">
      <c r="A22" s="70"/>
      <c r="B22" s="70"/>
      <c r="C22" s="70"/>
      <c r="D22" s="70"/>
      <c r="E22" s="70"/>
      <c r="F22" s="70"/>
      <c r="G22" s="70"/>
      <c r="H22" s="70"/>
      <c r="I22" s="82" t="s">
        <v>0</v>
      </c>
      <c r="J22" s="70"/>
      <c r="K22" s="70"/>
      <c r="L22" s="70"/>
    </row>
    <row r="23" spans="1:19" ht="12.75" customHeight="1">
      <c r="A23" s="70"/>
      <c r="B23" s="70"/>
      <c r="C23" s="70" t="s">
        <v>169</v>
      </c>
      <c r="D23" s="70"/>
      <c r="E23" s="70"/>
      <c r="F23" s="74" t="s">
        <v>221</v>
      </c>
      <c r="G23" s="83">
        <v>0.5</v>
      </c>
      <c r="H23" s="83">
        <v>30</v>
      </c>
      <c r="I23" s="83">
        <f aca="true" t="shared" si="0" ref="I23:I37">G23*H23</f>
        <v>15</v>
      </c>
      <c r="J23" s="83">
        <f>I23*I13</f>
        <v>15</v>
      </c>
      <c r="K23" s="128"/>
      <c r="L23" s="70"/>
      <c r="S23" s="70" t="s">
        <v>0</v>
      </c>
    </row>
    <row r="24" spans="1:12" ht="12.75" customHeight="1">
      <c r="A24" s="70"/>
      <c r="B24" s="70"/>
      <c r="C24" s="70" t="s">
        <v>174</v>
      </c>
      <c r="D24" s="70"/>
      <c r="E24" s="70"/>
      <c r="F24" s="74" t="s">
        <v>165</v>
      </c>
      <c r="G24" s="83">
        <v>150</v>
      </c>
      <c r="H24" s="84">
        <v>0.49</v>
      </c>
      <c r="I24" s="83">
        <f t="shared" si="0"/>
        <v>73.5</v>
      </c>
      <c r="J24" s="83">
        <f>I24*I13</f>
        <v>73.5</v>
      </c>
      <c r="K24" s="128"/>
      <c r="L24" s="70"/>
    </row>
    <row r="25" spans="1:12" ht="12.75" customHeight="1">
      <c r="A25" s="70"/>
      <c r="B25" s="70"/>
      <c r="C25" s="70" t="s">
        <v>187</v>
      </c>
      <c r="D25" s="70"/>
      <c r="E25" s="70"/>
      <c r="F25" s="74" t="s">
        <v>165</v>
      </c>
      <c r="G25" s="83">
        <v>40</v>
      </c>
      <c r="H25" s="84">
        <v>0.51</v>
      </c>
      <c r="I25" s="83">
        <f t="shared" si="0"/>
        <v>20.4</v>
      </c>
      <c r="J25" s="83">
        <f>I25*I$14</f>
        <v>20.4</v>
      </c>
      <c r="K25" s="128"/>
      <c r="L25" s="70"/>
    </row>
    <row r="26" spans="1:12" ht="12.75" customHeight="1">
      <c r="A26" s="70"/>
      <c r="B26" s="70"/>
      <c r="C26" s="70" t="s">
        <v>189</v>
      </c>
      <c r="D26" s="70"/>
      <c r="E26" s="70"/>
      <c r="F26" s="74" t="s">
        <v>165</v>
      </c>
      <c r="G26" s="83">
        <v>60</v>
      </c>
      <c r="H26" s="84">
        <v>0.39</v>
      </c>
      <c r="I26" s="83">
        <f t="shared" si="0"/>
        <v>23.400000000000002</v>
      </c>
      <c r="J26" s="83">
        <f>I26*I$14</f>
        <v>23.400000000000002</v>
      </c>
      <c r="K26" s="128"/>
      <c r="L26" s="70"/>
    </row>
    <row r="27" spans="1:12" ht="12.75" customHeight="1">
      <c r="A27" s="70"/>
      <c r="B27" s="70"/>
      <c r="C27" s="70" t="s">
        <v>261</v>
      </c>
      <c r="D27" s="70"/>
      <c r="E27" s="70"/>
      <c r="F27" s="74" t="s">
        <v>165</v>
      </c>
      <c r="G27" s="83">
        <v>0</v>
      </c>
      <c r="H27" s="84">
        <v>0.5</v>
      </c>
      <c r="I27" s="83">
        <f t="shared" si="0"/>
        <v>0</v>
      </c>
      <c r="J27" s="83">
        <f>I27*I$14</f>
        <v>0</v>
      </c>
      <c r="K27" s="128"/>
      <c r="L27" s="70"/>
    </row>
    <row r="28" spans="1:12" ht="12.75" customHeight="1">
      <c r="A28" s="70"/>
      <c r="B28" s="70"/>
      <c r="C28" s="70" t="s">
        <v>130</v>
      </c>
      <c r="D28" s="70"/>
      <c r="E28" s="70"/>
      <c r="F28" s="74" t="s">
        <v>98</v>
      </c>
      <c r="G28" s="83">
        <v>3</v>
      </c>
      <c r="H28" s="83">
        <v>2</v>
      </c>
      <c r="I28" s="83">
        <f t="shared" si="0"/>
        <v>6</v>
      </c>
      <c r="J28" s="83">
        <f>I28*I$14</f>
        <v>6</v>
      </c>
      <c r="K28" s="128"/>
      <c r="L28" s="70"/>
    </row>
    <row r="29" spans="1:12" ht="12.75" customHeight="1">
      <c r="A29" s="70"/>
      <c r="B29" s="70"/>
      <c r="C29" s="70" t="s">
        <v>129</v>
      </c>
      <c r="D29" s="70"/>
      <c r="E29" s="70"/>
      <c r="F29" s="74" t="s">
        <v>98</v>
      </c>
      <c r="G29" s="83">
        <v>2</v>
      </c>
      <c r="H29" s="83">
        <v>1.3</v>
      </c>
      <c r="I29" s="83">
        <f t="shared" si="0"/>
        <v>2.6</v>
      </c>
      <c r="J29" s="83">
        <f>I29*I$14</f>
        <v>2.6</v>
      </c>
      <c r="K29" s="128"/>
      <c r="L29" s="70"/>
    </row>
    <row r="30" spans="1:12" ht="12.75" customHeight="1">
      <c r="A30" s="70"/>
      <c r="B30" s="70"/>
      <c r="C30" s="70" t="s">
        <v>134</v>
      </c>
      <c r="D30" s="70"/>
      <c r="E30" s="70"/>
      <c r="F30" s="74" t="s">
        <v>98</v>
      </c>
      <c r="G30" s="83">
        <v>10</v>
      </c>
      <c r="H30" s="83">
        <v>12</v>
      </c>
      <c r="I30" s="83">
        <f t="shared" si="0"/>
        <v>120</v>
      </c>
      <c r="J30" s="83">
        <f>I30*I13</f>
        <v>120</v>
      </c>
      <c r="K30" s="128"/>
      <c r="L30" s="70"/>
    </row>
    <row r="31" spans="1:12" ht="12.75" customHeight="1">
      <c r="A31" s="70"/>
      <c r="B31" s="70"/>
      <c r="C31" s="70" t="s">
        <v>143</v>
      </c>
      <c r="D31" s="70"/>
      <c r="E31" s="70"/>
      <c r="F31" s="74" t="s">
        <v>98</v>
      </c>
      <c r="G31" s="83">
        <v>3</v>
      </c>
      <c r="H31" s="83">
        <v>29</v>
      </c>
      <c r="I31" s="83">
        <f t="shared" si="0"/>
        <v>87</v>
      </c>
      <c r="J31" s="83">
        <f>I31*I$14</f>
        <v>87</v>
      </c>
      <c r="K31" s="128"/>
      <c r="L31" s="70"/>
    </row>
    <row r="32" spans="1:12" ht="12.75" customHeight="1">
      <c r="A32" s="70"/>
      <c r="B32" s="70"/>
      <c r="C32" s="70" t="s">
        <v>263</v>
      </c>
      <c r="D32" s="70"/>
      <c r="E32" s="70"/>
      <c r="F32" s="74" t="s">
        <v>98</v>
      </c>
      <c r="G32" s="83">
        <v>4</v>
      </c>
      <c r="H32" s="83">
        <v>25</v>
      </c>
      <c r="I32" s="83">
        <f t="shared" si="0"/>
        <v>100</v>
      </c>
      <c r="J32" s="83">
        <f>I32*I$14</f>
        <v>100</v>
      </c>
      <c r="K32" s="128"/>
      <c r="L32" s="70"/>
    </row>
    <row r="33" spans="1:12" ht="12.75" customHeight="1">
      <c r="A33" s="70"/>
      <c r="B33" s="70"/>
      <c r="C33" s="70" t="s">
        <v>162</v>
      </c>
      <c r="D33" s="70"/>
      <c r="E33" s="70"/>
      <c r="F33" s="74" t="s">
        <v>145</v>
      </c>
      <c r="G33" s="83">
        <v>25</v>
      </c>
      <c r="H33" s="83">
        <v>10</v>
      </c>
      <c r="I33" s="83">
        <f t="shared" si="0"/>
        <v>250</v>
      </c>
      <c r="J33" s="83">
        <f>I33*I$14</f>
        <v>250</v>
      </c>
      <c r="K33" s="128"/>
      <c r="L33" s="70"/>
    </row>
    <row r="34" spans="1:12" ht="12.75" customHeight="1">
      <c r="A34" s="70"/>
      <c r="B34" s="70"/>
      <c r="C34" s="70" t="s">
        <v>266</v>
      </c>
      <c r="D34" s="70"/>
      <c r="E34" s="70"/>
      <c r="F34" s="74" t="s">
        <v>135</v>
      </c>
      <c r="G34" s="83">
        <v>52</v>
      </c>
      <c r="H34" s="83">
        <v>2.5</v>
      </c>
      <c r="I34" s="83">
        <f t="shared" si="0"/>
        <v>130</v>
      </c>
      <c r="J34" s="83">
        <f>I34*I13</f>
        <v>130</v>
      </c>
      <c r="K34" s="128"/>
      <c r="L34" s="70"/>
    </row>
    <row r="35" spans="1:12" ht="12.75" customHeight="1">
      <c r="A35" s="70"/>
      <c r="B35" s="70"/>
      <c r="C35" s="70" t="s">
        <v>57</v>
      </c>
      <c r="D35" s="70"/>
      <c r="E35" s="70"/>
      <c r="F35" s="74" t="s">
        <v>88</v>
      </c>
      <c r="G35" s="83">
        <v>1</v>
      </c>
      <c r="H35" s="83">
        <v>37</v>
      </c>
      <c r="I35" s="83">
        <f t="shared" si="0"/>
        <v>37</v>
      </c>
      <c r="J35" s="83">
        <f>I35*I13</f>
        <v>37</v>
      </c>
      <c r="K35" s="128"/>
      <c r="L35" s="70"/>
    </row>
    <row r="36" spans="1:12" ht="12.75" customHeight="1">
      <c r="A36" s="70"/>
      <c r="B36" s="70"/>
      <c r="C36" s="70" t="s">
        <v>264</v>
      </c>
      <c r="D36" s="70"/>
      <c r="E36" s="70"/>
      <c r="F36" s="74" t="s">
        <v>88</v>
      </c>
      <c r="G36" s="83">
        <v>1</v>
      </c>
      <c r="H36" s="83">
        <v>0</v>
      </c>
      <c r="I36" s="83">
        <f t="shared" si="0"/>
        <v>0</v>
      </c>
      <c r="J36" s="83">
        <f>I36*I13</f>
        <v>0</v>
      </c>
      <c r="K36" s="128"/>
      <c r="L36" s="70"/>
    </row>
    <row r="37" spans="1:12" ht="12.75" customHeight="1">
      <c r="A37" s="70"/>
      <c r="B37" s="70"/>
      <c r="C37" s="70" t="s">
        <v>267</v>
      </c>
      <c r="D37" s="70"/>
      <c r="E37" s="70"/>
      <c r="F37" s="74" t="s">
        <v>88</v>
      </c>
      <c r="G37" s="83">
        <v>1</v>
      </c>
      <c r="H37" s="83">
        <v>100</v>
      </c>
      <c r="I37" s="83">
        <f t="shared" si="0"/>
        <v>100</v>
      </c>
      <c r="J37" s="83">
        <f>I37*I13</f>
        <v>100</v>
      </c>
      <c r="K37" s="128"/>
      <c r="L37" s="70"/>
    </row>
    <row r="38" spans="1:12" ht="12.75" customHeight="1">
      <c r="A38" s="70"/>
      <c r="B38" s="70"/>
      <c r="C38" s="70" t="s">
        <v>155</v>
      </c>
      <c r="D38" s="70"/>
      <c r="E38" s="70"/>
      <c r="F38" s="74" t="s">
        <v>65</v>
      </c>
      <c r="G38" s="83">
        <f>SUM(I23:I36)</f>
        <v>864.9</v>
      </c>
      <c r="H38" s="83">
        <v>0.065</v>
      </c>
      <c r="I38" s="133">
        <f>G38*H38/2</f>
        <v>28.10925</v>
      </c>
      <c r="J38" s="133">
        <f>I38*I13</f>
        <v>28.10925</v>
      </c>
      <c r="K38" s="128"/>
      <c r="L38" s="70"/>
    </row>
    <row r="39" spans="1:12" ht="12.75" customHeight="1" thickBot="1">
      <c r="A39" s="70"/>
      <c r="B39" s="73" t="s">
        <v>192</v>
      </c>
      <c r="C39" s="70"/>
      <c r="D39" s="70"/>
      <c r="E39" s="70"/>
      <c r="F39" s="74"/>
      <c r="G39" s="74"/>
      <c r="H39" s="74"/>
      <c r="I39" s="130">
        <f>SUM(I22:I37)</f>
        <v>964.9</v>
      </c>
      <c r="J39" s="131">
        <f>I39*I13</f>
        <v>964.9</v>
      </c>
      <c r="K39" s="132" t="s">
        <v>0</v>
      </c>
      <c r="L39" s="70"/>
    </row>
    <row r="40" spans="1:12" ht="12.75" customHeight="1" thickTop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85" t="s">
        <v>0</v>
      </c>
      <c r="L40" s="70"/>
    </row>
    <row r="41" spans="1:12" ht="12.75" customHeight="1">
      <c r="A41" s="70"/>
      <c r="B41" s="87" t="s">
        <v>138</v>
      </c>
      <c r="C41" s="88"/>
      <c r="D41" s="88"/>
      <c r="E41" s="88"/>
      <c r="F41" s="76" t="s">
        <v>243</v>
      </c>
      <c r="G41" s="76" t="s">
        <v>197</v>
      </c>
      <c r="H41" s="78" t="s">
        <v>193</v>
      </c>
      <c r="I41" s="80" t="s">
        <v>66</v>
      </c>
      <c r="J41" s="81" t="s">
        <v>222</v>
      </c>
      <c r="K41" s="144" t="s">
        <v>330</v>
      </c>
      <c r="L41" s="70"/>
    </row>
    <row r="42" spans="1:12" ht="12.75" customHeight="1">
      <c r="A42" s="70"/>
      <c r="B42" s="88"/>
      <c r="C42" s="88" t="s">
        <v>140</v>
      </c>
      <c r="D42" s="88"/>
      <c r="E42" s="88"/>
      <c r="F42" s="89" t="s">
        <v>88</v>
      </c>
      <c r="G42" s="90">
        <v>1</v>
      </c>
      <c r="H42" s="90">
        <v>140</v>
      </c>
      <c r="I42" s="90">
        <f>G42*H42</f>
        <v>140</v>
      </c>
      <c r="J42" s="91">
        <f>I42*I13</f>
        <v>140</v>
      </c>
      <c r="K42" s="129" t="s">
        <v>0</v>
      </c>
      <c r="L42" s="70"/>
    </row>
    <row r="43" spans="1:12" ht="12.75" customHeight="1">
      <c r="A43" s="70"/>
      <c r="B43" s="88"/>
      <c r="C43" s="88" t="s">
        <v>110</v>
      </c>
      <c r="D43" s="88"/>
      <c r="E43" s="88"/>
      <c r="F43" s="89" t="s">
        <v>165</v>
      </c>
      <c r="G43" s="92">
        <f>MEDY</f>
        <v>1000</v>
      </c>
      <c r="H43" s="90">
        <v>0.12</v>
      </c>
      <c r="I43" s="90">
        <f>H43*G43</f>
        <v>120</v>
      </c>
      <c r="J43" s="91">
        <f>I43*I13</f>
        <v>120</v>
      </c>
      <c r="K43" s="129" t="s">
        <v>0</v>
      </c>
      <c r="L43" s="70"/>
    </row>
    <row r="44" spans="1:12" ht="12.75" customHeight="1">
      <c r="A44" s="70"/>
      <c r="B44" s="88"/>
      <c r="C44" s="88" t="s">
        <v>162</v>
      </c>
      <c r="D44" s="88"/>
      <c r="E44" s="88"/>
      <c r="F44" s="89" t="s">
        <v>145</v>
      </c>
      <c r="G44" s="90">
        <v>4</v>
      </c>
      <c r="H44" s="90">
        <f>H33</f>
        <v>10</v>
      </c>
      <c r="I44" s="90">
        <f>G44*H44</f>
        <v>40</v>
      </c>
      <c r="J44" s="91">
        <f>I44*I13</f>
        <v>40</v>
      </c>
      <c r="K44" s="129" t="s">
        <v>0</v>
      </c>
      <c r="L44" s="70"/>
    </row>
    <row r="45" spans="1:12" ht="12.75" customHeight="1">
      <c r="A45" s="70"/>
      <c r="B45" s="88"/>
      <c r="C45" s="88" t="s">
        <v>104</v>
      </c>
      <c r="D45" s="88"/>
      <c r="E45" s="88"/>
      <c r="F45" s="89" t="s">
        <v>165</v>
      </c>
      <c r="G45" s="92">
        <f>MEDY</f>
        <v>1000</v>
      </c>
      <c r="H45" s="90">
        <v>0.12</v>
      </c>
      <c r="I45" s="90">
        <f>G45*H45</f>
        <v>120</v>
      </c>
      <c r="J45" s="91">
        <f>I45*I13</f>
        <v>120</v>
      </c>
      <c r="K45" s="129" t="s">
        <v>0</v>
      </c>
      <c r="L45" s="70"/>
    </row>
    <row r="46" spans="1:12" ht="12.75" customHeight="1">
      <c r="A46" s="70"/>
      <c r="B46" s="88"/>
      <c r="C46" s="88" t="s">
        <v>277</v>
      </c>
      <c r="D46" s="88"/>
      <c r="E46" s="88"/>
      <c r="F46" s="89" t="s">
        <v>165</v>
      </c>
      <c r="G46" s="92">
        <f>MEDY</f>
        <v>1000</v>
      </c>
      <c r="H46" s="90">
        <v>0.03</v>
      </c>
      <c r="I46" s="90">
        <f>G46*H46</f>
        <v>30</v>
      </c>
      <c r="J46" s="91">
        <f>I46*I14</f>
        <v>30</v>
      </c>
      <c r="K46" s="129" t="s">
        <v>0</v>
      </c>
      <c r="L46" s="70"/>
    </row>
    <row r="47" spans="1:12" ht="12.75" customHeight="1">
      <c r="A47" s="70"/>
      <c r="B47" s="88"/>
      <c r="C47" s="88" t="s">
        <v>286</v>
      </c>
      <c r="D47" s="88"/>
      <c r="E47" s="88"/>
      <c r="F47" s="89" t="s">
        <v>165</v>
      </c>
      <c r="G47" s="92">
        <v>1000</v>
      </c>
      <c r="H47" s="92">
        <v>0.01</v>
      </c>
      <c r="I47" s="134">
        <f>G47*H47</f>
        <v>10</v>
      </c>
      <c r="J47" s="135">
        <f>I47*I14</f>
        <v>10</v>
      </c>
      <c r="K47" s="129" t="s">
        <v>0</v>
      </c>
      <c r="L47" s="70"/>
    </row>
    <row r="48" spans="1:12" ht="12.75" customHeight="1" thickBot="1">
      <c r="A48" s="70"/>
      <c r="B48" s="87" t="s">
        <v>230</v>
      </c>
      <c r="C48" s="88"/>
      <c r="D48" s="88"/>
      <c r="E48" s="88"/>
      <c r="F48" s="89"/>
      <c r="G48" s="89"/>
      <c r="H48" s="88"/>
      <c r="I48" s="136">
        <f>SUM(I42:I47)</f>
        <v>460</v>
      </c>
      <c r="J48" s="137">
        <f>SUM(J42:J47)</f>
        <v>460</v>
      </c>
      <c r="K48" s="138" t="s">
        <v>0</v>
      </c>
      <c r="L48" s="70"/>
    </row>
    <row r="49" spans="1:12" ht="12.75" customHeight="1" thickTop="1">
      <c r="A49" s="70"/>
      <c r="B49" s="87"/>
      <c r="C49" s="88"/>
      <c r="D49" s="88"/>
      <c r="E49" s="88"/>
      <c r="F49" s="89"/>
      <c r="G49" s="89"/>
      <c r="H49" s="88"/>
      <c r="I49" s="141"/>
      <c r="J49" s="142"/>
      <c r="K49" s="143"/>
      <c r="L49" s="70"/>
    </row>
    <row r="50" spans="1:12" ht="12.75" customHeight="1" thickBot="1">
      <c r="A50" s="70"/>
      <c r="B50" s="73" t="s">
        <v>237</v>
      </c>
      <c r="C50" s="70"/>
      <c r="D50" s="70"/>
      <c r="E50" s="70"/>
      <c r="F50" s="74"/>
      <c r="G50" s="74"/>
      <c r="H50" s="74"/>
      <c r="I50" s="131">
        <f>I39+I48</f>
        <v>1424.9</v>
      </c>
      <c r="J50" s="139">
        <f>I50*I13</f>
        <v>1424.9</v>
      </c>
      <c r="K50" s="140"/>
      <c r="L50" s="70"/>
    </row>
    <row r="51" spans="1:12" ht="12.75" customHeight="1" thickTop="1">
      <c r="A51" s="70"/>
      <c r="B51" s="73"/>
      <c r="C51" s="70"/>
      <c r="D51" s="70"/>
      <c r="E51" s="70"/>
      <c r="F51" s="74"/>
      <c r="G51" s="74"/>
      <c r="H51" s="74"/>
      <c r="I51" s="86"/>
      <c r="J51" s="93"/>
      <c r="K51" s="74"/>
      <c r="L51" s="70"/>
    </row>
    <row r="52" spans="1:12" ht="12.75" customHeight="1">
      <c r="A52" s="70"/>
      <c r="B52" s="73"/>
      <c r="C52" s="70"/>
      <c r="D52" s="70"/>
      <c r="E52" s="70"/>
      <c r="F52" s="74"/>
      <c r="G52" s="74"/>
      <c r="H52" s="74"/>
      <c r="I52" s="86"/>
      <c r="J52" s="93"/>
      <c r="K52" s="74"/>
      <c r="L52" s="70"/>
    </row>
    <row r="53" spans="1:40" ht="12.75" customHeight="1">
      <c r="A53" s="70"/>
      <c r="B53" s="73" t="s">
        <v>127</v>
      </c>
      <c r="C53" s="73"/>
      <c r="D53" s="70"/>
      <c r="E53" s="70"/>
      <c r="F53" s="76" t="s">
        <v>243</v>
      </c>
      <c r="G53" s="76" t="s">
        <v>197</v>
      </c>
      <c r="H53" s="78" t="s">
        <v>193</v>
      </c>
      <c r="I53" s="80" t="s">
        <v>66</v>
      </c>
      <c r="J53" s="81" t="s">
        <v>222</v>
      </c>
      <c r="K53" s="77"/>
      <c r="L53" s="70"/>
      <c r="AN53" s="69" t="s">
        <v>111</v>
      </c>
    </row>
    <row r="54" spans="1:12" ht="12.75" customHeight="1">
      <c r="A54" s="70"/>
      <c r="B54" s="70"/>
      <c r="C54" s="70" t="s">
        <v>238</v>
      </c>
      <c r="D54" s="70"/>
      <c r="E54" s="70"/>
      <c r="F54" s="74" t="s">
        <v>88</v>
      </c>
      <c r="G54" s="79">
        <v>1</v>
      </c>
      <c r="H54" s="79">
        <f>FxdCost!I34</f>
        <v>279.197875</v>
      </c>
      <c r="I54" s="79">
        <f>G54*H54</f>
        <v>279.197875</v>
      </c>
      <c r="J54" s="94">
        <f>I13*I54</f>
        <v>279.197875</v>
      </c>
      <c r="K54" s="85"/>
      <c r="L54" s="70"/>
    </row>
    <row r="55" spans="1:12" ht="12.75" customHeight="1">
      <c r="A55" s="70"/>
      <c r="B55" s="70"/>
      <c r="C55" s="70" t="s">
        <v>158</v>
      </c>
      <c r="D55" s="70"/>
      <c r="E55" s="70"/>
      <c r="F55" s="74" t="s">
        <v>88</v>
      </c>
      <c r="G55" s="79">
        <v>1</v>
      </c>
      <c r="H55" s="79">
        <f>+Drip!I48</f>
        <v>47.20379833333333</v>
      </c>
      <c r="I55" s="79">
        <f>G55*H55</f>
        <v>47.20379833333333</v>
      </c>
      <c r="J55" s="94">
        <f>I13*I55</f>
        <v>47.20379833333333</v>
      </c>
      <c r="K55" s="85"/>
      <c r="L55" s="70"/>
    </row>
    <row r="56" spans="1:12" ht="12.75" customHeight="1">
      <c r="A56" s="70"/>
      <c r="B56" s="70"/>
      <c r="C56" s="70" t="s">
        <v>182</v>
      </c>
      <c r="D56" s="70"/>
      <c r="E56" s="70"/>
      <c r="F56" s="74" t="s">
        <v>88</v>
      </c>
      <c r="G56" s="75">
        <f>I39</f>
        <v>964.9</v>
      </c>
      <c r="H56" s="79">
        <v>0.15</v>
      </c>
      <c r="I56" s="79">
        <f>G56*H56</f>
        <v>144.73499999999999</v>
      </c>
      <c r="J56" s="94">
        <f>I13*I56</f>
        <v>144.73499999999999</v>
      </c>
      <c r="K56" s="85"/>
      <c r="L56" s="70"/>
    </row>
    <row r="57" spans="1:12" ht="12.75" customHeight="1">
      <c r="A57" s="70"/>
      <c r="B57" s="73" t="s">
        <v>287</v>
      </c>
      <c r="C57" s="70"/>
      <c r="D57" s="70"/>
      <c r="E57" s="70"/>
      <c r="F57" s="74" t="s">
        <v>88</v>
      </c>
      <c r="G57" s="74"/>
      <c r="H57" s="74"/>
      <c r="I57" s="78">
        <f>SUM(I54:I56)</f>
        <v>471.1366733333333</v>
      </c>
      <c r="J57" s="81">
        <f>I13*I57</f>
        <v>471.1366733333333</v>
      </c>
      <c r="K57" s="74"/>
      <c r="L57" s="70"/>
    </row>
    <row r="58" spans="1:12" ht="12.75" customHeight="1">
      <c r="A58" s="70"/>
      <c r="B58" s="70"/>
      <c r="C58" s="70"/>
      <c r="D58" s="70"/>
      <c r="E58" s="70"/>
      <c r="F58" s="70"/>
      <c r="G58" s="74"/>
      <c r="H58" s="74"/>
      <c r="I58" s="75" t="s">
        <v>0</v>
      </c>
      <c r="J58" s="74"/>
      <c r="K58" s="74"/>
      <c r="L58" s="70"/>
    </row>
    <row r="59" spans="1:12" ht="12.75" customHeight="1">
      <c r="A59" s="70"/>
      <c r="B59" s="73" t="s">
        <v>288</v>
      </c>
      <c r="C59" s="70"/>
      <c r="D59" s="70"/>
      <c r="E59" s="70"/>
      <c r="F59" s="70"/>
      <c r="G59" s="74"/>
      <c r="H59" s="74"/>
      <c r="I59" s="78">
        <f>I39+I48+I57</f>
        <v>1896.0366733333335</v>
      </c>
      <c r="J59" s="80">
        <f>I13*I59</f>
        <v>1896.0366733333335</v>
      </c>
      <c r="K59" s="74"/>
      <c r="L59" s="70"/>
    </row>
    <row r="60" spans="1:12" ht="15" customHeight="1">
      <c r="A60" s="70"/>
      <c r="B60" s="70"/>
      <c r="C60" s="70"/>
      <c r="D60" s="70"/>
      <c r="E60" s="70"/>
      <c r="F60" s="70"/>
      <c r="G60" s="74"/>
      <c r="H60" s="74"/>
      <c r="I60" s="74"/>
      <c r="J60" s="74"/>
      <c r="K60" s="74"/>
      <c r="L60" s="70"/>
    </row>
    <row r="61" spans="1:12" ht="15" customHeight="1">
      <c r="A61" s="70"/>
      <c r="B61" s="70"/>
      <c r="C61" s="153" t="s">
        <v>103</v>
      </c>
      <c r="D61" s="153"/>
      <c r="E61" s="153"/>
      <c r="F61" s="153"/>
      <c r="G61" s="153"/>
      <c r="H61" s="153"/>
      <c r="I61" s="153"/>
      <c r="J61" s="74"/>
      <c r="K61" s="74"/>
      <c r="L61" s="70"/>
    </row>
    <row r="62" spans="1:12" ht="15" customHeight="1">
      <c r="A62" s="70"/>
      <c r="B62" s="70"/>
      <c r="C62" s="88" t="s">
        <v>331</v>
      </c>
      <c r="D62" s="70"/>
      <c r="E62" s="70"/>
      <c r="F62" s="70"/>
      <c r="G62" s="74"/>
      <c r="H62" s="74"/>
      <c r="I62" s="79">
        <f>I39/G17</f>
        <v>0.9649</v>
      </c>
      <c r="J62" s="74"/>
      <c r="K62" s="74"/>
      <c r="L62" s="70" t="s">
        <v>73</v>
      </c>
    </row>
    <row r="63" spans="1:17" ht="15" customHeight="1">
      <c r="A63" s="70"/>
      <c r="B63" s="70"/>
      <c r="C63" s="88" t="s">
        <v>334</v>
      </c>
      <c r="D63" s="70"/>
      <c r="E63" s="70"/>
      <c r="F63" s="70"/>
      <c r="G63" s="74"/>
      <c r="H63" s="74"/>
      <c r="I63" s="79">
        <f>I48/G17</f>
        <v>0.46</v>
      </c>
      <c r="J63" s="74"/>
      <c r="K63" s="74"/>
      <c r="L63" s="70" t="s">
        <v>73</v>
      </c>
      <c r="M63" s="70" t="s">
        <v>73</v>
      </c>
      <c r="Q63" s="70" t="s">
        <v>73</v>
      </c>
    </row>
    <row r="64" spans="1:17" ht="15" customHeight="1">
      <c r="A64" s="70"/>
      <c r="B64" s="70"/>
      <c r="C64" s="88" t="s">
        <v>332</v>
      </c>
      <c r="D64" s="70" t="s">
        <v>289</v>
      </c>
      <c r="E64" s="70"/>
      <c r="F64" s="70"/>
      <c r="G64" s="74"/>
      <c r="H64" s="74"/>
      <c r="I64" s="79">
        <f>I57/G17</f>
        <v>0.4711366733333333</v>
      </c>
      <c r="J64" s="74"/>
      <c r="K64" s="74"/>
      <c r="L64" s="70" t="s">
        <v>73</v>
      </c>
      <c r="M64" s="70" t="s">
        <v>3</v>
      </c>
      <c r="Q64" s="70" t="s">
        <v>73</v>
      </c>
    </row>
    <row r="65" spans="1:17" ht="15" customHeight="1">
      <c r="A65" s="70"/>
      <c r="B65" s="73"/>
      <c r="C65" s="88" t="s">
        <v>333</v>
      </c>
      <c r="D65" s="70"/>
      <c r="E65" s="70"/>
      <c r="F65" s="70"/>
      <c r="G65" s="74"/>
      <c r="H65" s="74"/>
      <c r="I65" s="78">
        <f>UNITCOST/MEDP</f>
        <v>948.0183366666668</v>
      </c>
      <c r="J65" s="74"/>
      <c r="K65" s="74"/>
      <c r="L65" s="70" t="s">
        <v>73</v>
      </c>
      <c r="M65" s="70" t="s">
        <v>1</v>
      </c>
      <c r="Q65" s="70" t="s">
        <v>73</v>
      </c>
    </row>
    <row r="66" spans="1:17" ht="15" customHeight="1">
      <c r="A66" s="70"/>
      <c r="B66" s="70"/>
      <c r="C66" s="70"/>
      <c r="D66" s="70"/>
      <c r="E66" s="70"/>
      <c r="F66" s="70"/>
      <c r="G66" s="74"/>
      <c r="H66" s="74"/>
      <c r="I66" s="95"/>
      <c r="J66" s="74"/>
      <c r="K66" s="74"/>
      <c r="L66" s="70" t="s">
        <v>73</v>
      </c>
      <c r="M66" s="82">
        <f>I13</f>
        <v>1</v>
      </c>
      <c r="N66" s="70" t="s">
        <v>6</v>
      </c>
      <c r="Q66" s="70" t="s">
        <v>73</v>
      </c>
    </row>
    <row r="67" spans="1:17" ht="15" customHeight="1">
      <c r="A67" s="70"/>
      <c r="B67" s="70"/>
      <c r="C67" s="70"/>
      <c r="D67" s="70"/>
      <c r="E67" s="70"/>
      <c r="F67" s="70"/>
      <c r="G67" s="74"/>
      <c r="H67" s="74"/>
      <c r="I67" s="74"/>
      <c r="J67" s="74"/>
      <c r="K67" s="74"/>
      <c r="L67" s="70" t="s">
        <v>73</v>
      </c>
      <c r="M67" s="82">
        <f>E17</f>
        <v>1600</v>
      </c>
      <c r="N67" s="70" t="s">
        <v>8</v>
      </c>
      <c r="O67" s="68">
        <f>E18</f>
        <v>2.6</v>
      </c>
      <c r="P67" s="70" t="s">
        <v>7</v>
      </c>
      <c r="Q67" s="70" t="s">
        <v>73</v>
      </c>
    </row>
    <row r="68" spans="1:17" ht="15" customHeight="1">
      <c r="A68" s="70"/>
      <c r="B68" s="70" t="s">
        <v>265</v>
      </c>
      <c r="C68" s="70"/>
      <c r="D68" s="70"/>
      <c r="E68" s="70"/>
      <c r="F68" s="70"/>
      <c r="G68" s="74"/>
      <c r="H68" s="74"/>
      <c r="I68" s="74"/>
      <c r="J68" s="74"/>
      <c r="K68" s="74"/>
      <c r="L68" s="70"/>
      <c r="M68" s="82">
        <f>F17</f>
        <v>1300</v>
      </c>
      <c r="N68" s="70" t="s">
        <v>25</v>
      </c>
      <c r="O68" s="68">
        <f>F18</f>
        <v>2.3</v>
      </c>
      <c r="P68" s="70" t="s">
        <v>24</v>
      </c>
      <c r="Q68" s="70" t="s">
        <v>73</v>
      </c>
    </row>
    <row r="69" spans="1:15" ht="15" customHeight="1">
      <c r="A69" s="70"/>
      <c r="B69" s="70"/>
      <c r="C69" s="70"/>
      <c r="D69" s="70"/>
      <c r="E69" s="70"/>
      <c r="F69" s="70"/>
      <c r="G69" s="74"/>
      <c r="H69" s="74"/>
      <c r="I69" s="74"/>
      <c r="J69" s="74"/>
      <c r="K69" s="74"/>
      <c r="L69" s="70" t="s">
        <v>73</v>
      </c>
      <c r="M69" s="82"/>
      <c r="O69" s="68"/>
    </row>
    <row r="70" spans="1:17" ht="15" customHeight="1">
      <c r="A70" s="70"/>
      <c r="B70" s="70"/>
      <c r="C70" s="70"/>
      <c r="D70" s="70"/>
      <c r="E70" s="70"/>
      <c r="F70" s="70"/>
      <c r="G70" s="74"/>
      <c r="H70" s="74"/>
      <c r="I70" s="74"/>
      <c r="J70" s="74"/>
      <c r="K70" s="74"/>
      <c r="L70" s="70" t="s">
        <v>73</v>
      </c>
      <c r="M70" s="82">
        <f>G17</f>
        <v>1000</v>
      </c>
      <c r="N70" s="70" t="s">
        <v>18</v>
      </c>
      <c r="O70" s="68">
        <f>G18</f>
        <v>2</v>
      </c>
      <c r="P70" s="70" t="s">
        <v>17</v>
      </c>
      <c r="Q70" s="70" t="s">
        <v>73</v>
      </c>
    </row>
    <row r="71" spans="1:17" ht="15" customHeight="1">
      <c r="A71" s="70"/>
      <c r="B71" s="70"/>
      <c r="C71" s="70"/>
      <c r="D71" s="70"/>
      <c r="E71" s="70"/>
      <c r="F71" s="70"/>
      <c r="G71" s="96"/>
      <c r="H71" s="74"/>
      <c r="I71" s="74"/>
      <c r="J71" s="74"/>
      <c r="K71" s="74"/>
      <c r="L71" s="70" t="s">
        <v>73</v>
      </c>
      <c r="M71" s="82">
        <f>H17</f>
        <v>700</v>
      </c>
      <c r="N71" s="70" t="s">
        <v>28</v>
      </c>
      <c r="O71" s="68">
        <f>H18</f>
        <v>1.7</v>
      </c>
      <c r="P71" s="70" t="s">
        <v>27</v>
      </c>
      <c r="Q71" s="70" t="s">
        <v>73</v>
      </c>
    </row>
    <row r="72" spans="1:17" ht="15" customHeight="1">
      <c r="A72" s="70"/>
      <c r="B72" s="70"/>
      <c r="C72" s="150" t="s">
        <v>123</v>
      </c>
      <c r="D72" s="150"/>
      <c r="E72" s="150"/>
      <c r="F72" s="150"/>
      <c r="G72" s="150"/>
      <c r="H72" s="150"/>
      <c r="I72" s="150"/>
      <c r="J72" s="74"/>
      <c r="K72" s="74"/>
      <c r="L72" s="70" t="s">
        <v>73</v>
      </c>
      <c r="M72" s="82">
        <f>I17</f>
        <v>400</v>
      </c>
      <c r="N72" s="70" t="s">
        <v>51</v>
      </c>
      <c r="O72" s="68">
        <f>I18</f>
        <v>1.4</v>
      </c>
      <c r="P72" s="70" t="s">
        <v>50</v>
      </c>
      <c r="Q72" s="70" t="s">
        <v>73</v>
      </c>
    </row>
    <row r="73" spans="1:17" ht="15" customHeight="1">
      <c r="A73" s="70"/>
      <c r="B73" s="70"/>
      <c r="C73" s="70"/>
      <c r="D73" s="70"/>
      <c r="E73" s="70"/>
      <c r="F73" s="70"/>
      <c r="G73" s="76" t="s">
        <v>0</v>
      </c>
      <c r="H73" s="76"/>
      <c r="I73" s="74"/>
      <c r="J73" s="74"/>
      <c r="K73" s="74"/>
      <c r="L73" s="70" t="s">
        <v>73</v>
      </c>
      <c r="M73" s="68">
        <f>I63</f>
        <v>0.46</v>
      </c>
      <c r="N73" s="70" t="s">
        <v>16</v>
      </c>
      <c r="Q73" s="70" t="s">
        <v>73</v>
      </c>
    </row>
    <row r="74" spans="1:17" ht="15" customHeight="1">
      <c r="A74" s="70"/>
      <c r="B74" s="70"/>
      <c r="C74" s="87" t="s">
        <v>0</v>
      </c>
      <c r="D74" s="87" t="s">
        <v>122</v>
      </c>
      <c r="E74" s="87"/>
      <c r="F74" s="87" t="s">
        <v>250</v>
      </c>
      <c r="G74" s="77"/>
      <c r="H74" s="97" t="s">
        <v>122</v>
      </c>
      <c r="I74" s="97" t="s">
        <v>0</v>
      </c>
      <c r="J74" s="145" t="s">
        <v>223</v>
      </c>
      <c r="K74" s="74"/>
      <c r="L74" s="70" t="s">
        <v>73</v>
      </c>
      <c r="M74" s="68">
        <f>I39+I57</f>
        <v>1436.0366733333333</v>
      </c>
      <c r="N74" s="70" t="s">
        <v>41</v>
      </c>
      <c r="Q74" s="70" t="s">
        <v>73</v>
      </c>
    </row>
    <row r="75" spans="1:17" ht="15" customHeight="1">
      <c r="A75" s="70"/>
      <c r="B75" s="70"/>
      <c r="C75" s="87" t="s">
        <v>90</v>
      </c>
      <c r="D75" s="87" t="s">
        <v>256</v>
      </c>
      <c r="E75" s="87"/>
      <c r="F75" s="87" t="s">
        <v>172</v>
      </c>
      <c r="G75" s="77"/>
      <c r="H75" s="97" t="s">
        <v>194</v>
      </c>
      <c r="I75" s="97" t="s">
        <v>0</v>
      </c>
      <c r="J75" s="145" t="s">
        <v>205</v>
      </c>
      <c r="K75" s="74" t="s">
        <v>2</v>
      </c>
      <c r="L75" s="70" t="s">
        <v>77</v>
      </c>
      <c r="M75" s="70" t="s">
        <v>73</v>
      </c>
      <c r="Q75" s="70" t="s">
        <v>73</v>
      </c>
    </row>
    <row r="76" spans="1:17" ht="15" customHeight="1">
      <c r="A76" s="70"/>
      <c r="B76" s="70"/>
      <c r="C76" s="70"/>
      <c r="D76" s="70"/>
      <c r="E76" s="70"/>
      <c r="F76" s="70"/>
      <c r="G76" s="74"/>
      <c r="H76" s="74"/>
      <c r="I76" s="74"/>
      <c r="J76" s="74"/>
      <c r="K76" s="74"/>
      <c r="L76" s="70" t="s">
        <v>77</v>
      </c>
      <c r="M76" s="70" t="s">
        <v>1</v>
      </c>
      <c r="Q76" s="70" t="s">
        <v>77</v>
      </c>
    </row>
    <row r="77" spans="1:17" ht="15" customHeight="1">
      <c r="A77" s="70"/>
      <c r="B77" s="70"/>
      <c r="C77" s="82">
        <f>I13</f>
        <v>1</v>
      </c>
      <c r="D77" s="82">
        <f>MEDY</f>
        <v>1000</v>
      </c>
      <c r="E77" s="70"/>
      <c r="F77" s="82">
        <f>MEDY</f>
        <v>1000</v>
      </c>
      <c r="G77" s="74"/>
      <c r="H77" s="79">
        <f>MEDP</f>
        <v>2</v>
      </c>
      <c r="I77" s="74"/>
      <c r="J77" s="75">
        <f>F77*O79</f>
        <v>2000</v>
      </c>
      <c r="K77" s="74"/>
      <c r="L77" s="70" t="s">
        <v>77</v>
      </c>
      <c r="N77" s="70" t="s">
        <v>107</v>
      </c>
      <c r="Q77" s="70" t="s">
        <v>77</v>
      </c>
    </row>
    <row r="78" spans="1:17" ht="15" customHeight="1">
      <c r="A78" s="70"/>
      <c r="B78" s="70"/>
      <c r="C78" s="70"/>
      <c r="D78" s="70"/>
      <c r="E78" s="70"/>
      <c r="F78" s="70"/>
      <c r="G78" s="74"/>
      <c r="H78" s="74"/>
      <c r="I78" s="74"/>
      <c r="J78" s="74"/>
      <c r="K78" s="74"/>
      <c r="L78" s="70" t="s">
        <v>77</v>
      </c>
      <c r="M78" s="70" t="s">
        <v>1</v>
      </c>
      <c r="Q78" s="70" t="s">
        <v>77</v>
      </c>
    </row>
    <row r="79" spans="1:17" ht="15" customHeight="1">
      <c r="A79" s="70"/>
      <c r="B79" s="70"/>
      <c r="C79" s="70"/>
      <c r="D79" s="70"/>
      <c r="E79" s="70"/>
      <c r="F79" s="70"/>
      <c r="G79" s="74"/>
      <c r="H79" s="74"/>
      <c r="I79" s="74"/>
      <c r="J79" s="74"/>
      <c r="K79" s="74"/>
      <c r="L79" s="70" t="s">
        <v>77</v>
      </c>
      <c r="M79" s="82">
        <f>0.04*M67+0.25*M68+0.42*M70+0.25*M71+0.04*M72</f>
        <v>1000</v>
      </c>
      <c r="N79" s="70" t="s">
        <v>14</v>
      </c>
      <c r="O79" s="70">
        <f>0.04*O67+0.25*O68+0.42*O70+0.25*O71+0.04*O72</f>
        <v>2</v>
      </c>
      <c r="P79" s="70" t="s">
        <v>13</v>
      </c>
      <c r="Q79" s="70" t="s">
        <v>77</v>
      </c>
    </row>
    <row r="80" spans="1:17" ht="15" customHeight="1" thickBot="1">
      <c r="A80" s="70"/>
      <c r="B80" s="146"/>
      <c r="C80" s="146"/>
      <c r="D80" s="146"/>
      <c r="E80" s="146"/>
      <c r="F80" s="146"/>
      <c r="G80" s="147"/>
      <c r="H80" s="147"/>
      <c r="I80" s="147"/>
      <c r="J80" s="147"/>
      <c r="K80" s="74"/>
      <c r="L80" s="70" t="s">
        <v>77</v>
      </c>
      <c r="M80" s="70">
        <f>0.25*(M67-M79)+0.5*(M68-M79)</f>
        <v>300</v>
      </c>
      <c r="N80" s="70" t="s">
        <v>39</v>
      </c>
      <c r="O80" s="70">
        <f>0.25*(O67-O79)+0.5*(O68-O79)</f>
        <v>0.29999999999999993</v>
      </c>
      <c r="P80" s="70" t="s">
        <v>31</v>
      </c>
      <c r="Q80" s="70" t="s">
        <v>77</v>
      </c>
    </row>
    <row r="81" spans="1:17" ht="15" customHeight="1">
      <c r="A81" s="70"/>
      <c r="B81" s="70"/>
      <c r="C81" s="70"/>
      <c r="D81" s="70"/>
      <c r="E81" s="70"/>
      <c r="F81" s="70"/>
      <c r="G81" s="74"/>
      <c r="H81" s="74"/>
      <c r="I81" s="74"/>
      <c r="J81" s="74"/>
      <c r="K81" s="74"/>
      <c r="L81" s="70" t="s">
        <v>77</v>
      </c>
      <c r="M81" s="70">
        <f>0.25*(M79-M72)+0.5*(M79-M71)</f>
        <v>300</v>
      </c>
      <c r="N81" s="70" t="s">
        <v>40</v>
      </c>
      <c r="O81" s="70">
        <f>0.25*(O79-O72)+0.5*(O79-O71)</f>
        <v>0.30000000000000004</v>
      </c>
      <c r="P81" s="70" t="s">
        <v>32</v>
      </c>
      <c r="Q81" s="70" t="s">
        <v>77</v>
      </c>
    </row>
    <row r="82" spans="1:17" ht="15" customHeight="1">
      <c r="A82" s="70"/>
      <c r="B82" s="70"/>
      <c r="C82" s="70"/>
      <c r="D82" s="70"/>
      <c r="E82" s="70"/>
      <c r="F82" s="70"/>
      <c r="G82" s="74"/>
      <c r="H82" s="74"/>
      <c r="I82" s="74"/>
      <c r="J82" s="74"/>
      <c r="K82" s="74"/>
      <c r="L82" s="70" t="s">
        <v>77</v>
      </c>
      <c r="M82" s="82">
        <f>M80^2</f>
        <v>90000</v>
      </c>
      <c r="N82" s="70" t="s">
        <v>48</v>
      </c>
      <c r="O82" s="70">
        <f>O80^2</f>
        <v>0.08999999999999996</v>
      </c>
      <c r="P82" s="70" t="s">
        <v>42</v>
      </c>
      <c r="Q82" s="70" t="s">
        <v>77</v>
      </c>
    </row>
    <row r="83" spans="1:17" ht="15" customHeight="1">
      <c r="A83" s="70"/>
      <c r="B83" s="154" t="s">
        <v>335</v>
      </c>
      <c r="C83" s="154"/>
      <c r="D83" s="154"/>
      <c r="E83" s="154"/>
      <c r="F83" s="154"/>
      <c r="G83" s="154"/>
      <c r="H83" s="154"/>
      <c r="I83" s="154"/>
      <c r="J83" s="154"/>
      <c r="K83" s="74"/>
      <c r="L83" s="70" t="s">
        <v>77</v>
      </c>
      <c r="M83" s="82">
        <f>M81^2</f>
        <v>90000</v>
      </c>
      <c r="N83" s="70" t="s">
        <v>49</v>
      </c>
      <c r="O83" s="70">
        <f>O81^2</f>
        <v>0.09000000000000002</v>
      </c>
      <c r="P83" s="70" t="s">
        <v>43</v>
      </c>
      <c r="Q83" s="70" t="s">
        <v>77</v>
      </c>
    </row>
    <row r="84" spans="1:17" ht="15" customHeight="1">
      <c r="A84" s="70"/>
      <c r="B84" s="70"/>
      <c r="C84" s="70"/>
      <c r="D84" s="70"/>
      <c r="E84" s="70"/>
      <c r="F84" s="70"/>
      <c r="G84" s="74"/>
      <c r="H84" s="74"/>
      <c r="I84" s="74"/>
      <c r="J84" s="74"/>
      <c r="K84" s="74"/>
      <c r="L84" s="70" t="s">
        <v>77</v>
      </c>
      <c r="M84" s="70" t="s">
        <v>1</v>
      </c>
      <c r="Q84" s="70" t="s">
        <v>77</v>
      </c>
    </row>
    <row r="85" spans="1:17" ht="15" customHeight="1">
      <c r="A85" s="70"/>
      <c r="B85" s="149" t="s">
        <v>175</v>
      </c>
      <c r="C85" s="149"/>
      <c r="D85" s="149"/>
      <c r="E85" s="149"/>
      <c r="F85" s="149"/>
      <c r="G85" s="149"/>
      <c r="H85" s="149"/>
      <c r="I85" s="149"/>
      <c r="J85" s="149"/>
      <c r="K85" s="74"/>
      <c r="L85" s="70" t="s">
        <v>77</v>
      </c>
      <c r="M85" s="82">
        <f>(M79^2*O82)+(O79-M73)^2*M82</f>
        <v>303443.99999999994</v>
      </c>
      <c r="N85" s="82" t="s">
        <v>44</v>
      </c>
      <c r="O85" s="82">
        <f>(M79^2*O83)+(O79-M73)^2*M83</f>
        <v>303444</v>
      </c>
      <c r="P85" s="70" t="s">
        <v>47</v>
      </c>
      <c r="Q85" s="70" t="s">
        <v>77</v>
      </c>
    </row>
    <row r="86" spans="1:17" ht="15" customHeight="1">
      <c r="A86" s="70"/>
      <c r="B86" s="149" t="s">
        <v>217</v>
      </c>
      <c r="C86" s="149"/>
      <c r="D86" s="149"/>
      <c r="E86" s="149"/>
      <c r="F86" s="149"/>
      <c r="G86" s="149"/>
      <c r="H86" s="149"/>
      <c r="I86" s="149"/>
      <c r="J86" s="149"/>
      <c r="K86" s="74"/>
      <c r="L86" s="70" t="s">
        <v>77</v>
      </c>
      <c r="M86" s="82">
        <f>(M79^2*O82)+(O79-M73)^2*M83</f>
        <v>303443.99999999994</v>
      </c>
      <c r="N86" s="82" t="s">
        <v>45</v>
      </c>
      <c r="O86" s="82">
        <f>M79^2*O83+(O79-M73)^2*M82</f>
        <v>303444</v>
      </c>
      <c r="P86" s="70" t="s">
        <v>46</v>
      </c>
      <c r="Q86" s="70" t="s">
        <v>77</v>
      </c>
    </row>
    <row r="87" spans="1:18" ht="15" customHeight="1">
      <c r="A87" s="70"/>
      <c r="B87" s="149" t="s">
        <v>216</v>
      </c>
      <c r="C87" s="149"/>
      <c r="D87" s="149"/>
      <c r="E87" s="149"/>
      <c r="F87" s="149"/>
      <c r="G87" s="149"/>
      <c r="H87" s="149"/>
      <c r="I87" s="149"/>
      <c r="J87" s="149"/>
      <c r="K87" s="74"/>
      <c r="L87" s="70" t="s">
        <v>77</v>
      </c>
      <c r="M87" s="82">
        <f>SQRT(M85)</f>
        <v>550.8575133371605</v>
      </c>
      <c r="N87" s="82" t="s">
        <v>33</v>
      </c>
      <c r="O87" s="82">
        <f>SQRT(O85)</f>
        <v>550.8575133371605</v>
      </c>
      <c r="P87" s="70" t="s">
        <v>36</v>
      </c>
      <c r="Q87" s="70" t="s">
        <v>77</v>
      </c>
      <c r="R87" s="70" t="s">
        <v>0</v>
      </c>
    </row>
    <row r="88" spans="1:17" ht="15" customHeight="1">
      <c r="A88" s="70"/>
      <c r="B88" s="70"/>
      <c r="C88" s="70"/>
      <c r="D88" s="70"/>
      <c r="E88" s="70"/>
      <c r="F88" s="70"/>
      <c r="G88" s="74"/>
      <c r="H88" s="74"/>
      <c r="I88" s="74"/>
      <c r="J88" s="74"/>
      <c r="K88" s="74" t="s">
        <v>0</v>
      </c>
      <c r="L88" s="70" t="s">
        <v>77</v>
      </c>
      <c r="M88" s="82">
        <f>SQRT(M86)</f>
        <v>550.8575133371605</v>
      </c>
      <c r="N88" s="82" t="s">
        <v>34</v>
      </c>
      <c r="O88" s="82">
        <f>SQRT(O86)</f>
        <v>550.8575133371605</v>
      </c>
      <c r="P88" s="70" t="s">
        <v>35</v>
      </c>
      <c r="Q88" s="70" t="s">
        <v>77</v>
      </c>
    </row>
    <row r="89" spans="1:43" ht="15" customHeight="1">
      <c r="A89" s="70"/>
      <c r="B89" s="70"/>
      <c r="C89" s="70"/>
      <c r="D89" s="70"/>
      <c r="E89" s="87" t="s">
        <v>26</v>
      </c>
      <c r="F89" s="70"/>
      <c r="G89" s="76" t="s">
        <v>15</v>
      </c>
      <c r="H89" s="74"/>
      <c r="I89" s="97" t="s">
        <v>29</v>
      </c>
      <c r="J89" s="74"/>
      <c r="K89" s="74"/>
      <c r="L89" s="70" t="s">
        <v>77</v>
      </c>
      <c r="M89" s="82">
        <f>0.66*M87+0.17*M88+0.17*O88</f>
        <v>550.8575133371605</v>
      </c>
      <c r="N89" s="82" t="s">
        <v>37</v>
      </c>
      <c r="O89" s="82">
        <f>0.66*O87+0.17*M88+0.17*O88</f>
        <v>550.8575133371605</v>
      </c>
      <c r="P89" s="70" t="s">
        <v>38</v>
      </c>
      <c r="Q89" s="70" t="s">
        <v>77</v>
      </c>
      <c r="AQ89" s="1" t="s">
        <v>206</v>
      </c>
    </row>
    <row r="90" spans="1:17" ht="15" customHeight="1">
      <c r="A90" s="70"/>
      <c r="B90" s="70"/>
      <c r="C90" s="70"/>
      <c r="D90" s="74"/>
      <c r="E90" s="70"/>
      <c r="F90" s="70"/>
      <c r="G90" s="70"/>
      <c r="H90" s="70"/>
      <c r="I90" s="70"/>
      <c r="J90" s="74"/>
      <c r="K90" s="74"/>
      <c r="L90" s="70" t="s">
        <v>77</v>
      </c>
      <c r="M90" s="70" t="s">
        <v>1</v>
      </c>
      <c r="Q90" s="70" t="s">
        <v>77</v>
      </c>
    </row>
    <row r="91" spans="1:17" ht="15" customHeight="1">
      <c r="A91" s="70"/>
      <c r="B91" s="88" t="s">
        <v>336</v>
      </c>
      <c r="C91" s="70"/>
      <c r="D91" s="148">
        <f>O$98+1.5*M$95</f>
        <v>930.2495966724075</v>
      </c>
      <c r="E91" s="94">
        <f>(O98+M95)</f>
        <v>654.8208400038272</v>
      </c>
      <c r="F91" s="148">
        <f>O98+0.5*M95</f>
        <v>379.392083335247</v>
      </c>
      <c r="G91" s="107">
        <f>O98</f>
        <v>103.96332666666672</v>
      </c>
      <c r="H91" s="148">
        <f>O98-0.5*O95</f>
        <v>-171.46543000191355</v>
      </c>
      <c r="I91" s="94">
        <f>O98-O95</f>
        <v>-446.8941866704938</v>
      </c>
      <c r="J91" s="148">
        <f>O98-1.5*O95</f>
        <v>-722.3229433390741</v>
      </c>
      <c r="K91" s="74"/>
      <c r="L91" s="70" t="s">
        <v>77</v>
      </c>
      <c r="M91" s="70" t="s">
        <v>106</v>
      </c>
      <c r="Q91" s="70" t="s">
        <v>77</v>
      </c>
    </row>
    <row r="92" spans="1:17" ht="15" customHeight="1">
      <c r="A92" s="70"/>
      <c r="B92" s="70" t="s">
        <v>108</v>
      </c>
      <c r="C92" s="70"/>
      <c r="D92" s="98">
        <f>IF(N102&lt;1,IF(M102,R102,1-R102),IF(M102,R103,1-R103))</f>
        <v>0.06680727937584853</v>
      </c>
      <c r="E92" s="98">
        <f>IF(T102&lt;1,IF(S102,X102,1-X102),IF(S102,X103,1-X103))</f>
        <v>0.15865531316113052</v>
      </c>
      <c r="F92" s="98">
        <f>IF(Z102&lt;1,IF(Y102,AD102,1-AD102),IF(Y102,AD103,1-AD103))</f>
        <v>0.30853755861792775</v>
      </c>
      <c r="G92" s="98">
        <f>IF(N104&lt;1,IF(M104,R104,1-R104),IF(M104,R105,1-R105))</f>
        <v>0.5000000002253843</v>
      </c>
      <c r="H92" s="99">
        <f>IF(T104&lt;1,IF(S104,X104,1-X104),IF(S104,X105,1-X105))</f>
        <v>0.6914624413820722</v>
      </c>
      <c r="I92" s="99">
        <f>IF(Z104&lt;1,IF(Y104,AD104,1-AD104),IF(Y104,AD105,1-AD105))</f>
        <v>0.8413446868388694</v>
      </c>
      <c r="J92" s="100">
        <f>IF(N106&lt;1,IF(M106,R106,1-R106),IF(M106,R107,1-R107))</f>
        <v>0.9331927206241515</v>
      </c>
      <c r="K92" s="74" t="s">
        <v>0</v>
      </c>
      <c r="L92" s="70" t="s">
        <v>77</v>
      </c>
      <c r="M92" s="70" t="s">
        <v>1</v>
      </c>
      <c r="Q92" s="70" t="s">
        <v>77</v>
      </c>
    </row>
    <row r="93" spans="1:17" ht="15" customHeight="1">
      <c r="A93" s="70"/>
      <c r="B93" s="70" t="s">
        <v>108</v>
      </c>
      <c r="C93" s="70"/>
      <c r="D93" s="101">
        <f>IF(N102&lt;1,IF(M102,1-R102,R102),IF(M102,1-R103,R103))</f>
        <v>0.9331927206241515</v>
      </c>
      <c r="E93" s="101">
        <f>IF(T102&lt;1,IF(S102,1-X102,X102),IF(S102,1-X103,X103))</f>
        <v>0.8413446868388694</v>
      </c>
      <c r="F93" s="101">
        <f>IF(Z102&lt;1,IF(Y102,1-AD102,AD102),IF(Y102,1-AD103,AD103))</f>
        <v>0.6914624413820722</v>
      </c>
      <c r="G93" s="98">
        <f>IF(N104&lt;1,IF(M104,1-R104,R104),IF(M104,1-R105,R105))</f>
        <v>0.49999999977461573</v>
      </c>
      <c r="H93" s="98">
        <f>IF(T104&lt;1,IF(S104,1-X104,X104),IF(S104,1-X105,X105))</f>
        <v>0.30853755861792775</v>
      </c>
      <c r="I93" s="98">
        <f>IF(Z104&lt;1,IF(Y104,1-AD104,AD104),IF(Y104,1-AD105,AD105))</f>
        <v>0.15865531316113052</v>
      </c>
      <c r="J93" s="98">
        <f>IF(N106&lt;1,IF(M106,1-R106,R106),IF(M106,1-R107,R107))</f>
        <v>0.06680727937584853</v>
      </c>
      <c r="K93" s="74"/>
      <c r="L93" s="70" t="s">
        <v>77</v>
      </c>
      <c r="M93" s="82">
        <f>M87*M66</f>
        <v>550.8575133371605</v>
      </c>
      <c r="N93" s="70" t="s">
        <v>33</v>
      </c>
      <c r="O93" s="82">
        <f>O87*M66</f>
        <v>550.8575133371605</v>
      </c>
      <c r="P93" s="70" t="s">
        <v>36</v>
      </c>
      <c r="Q93" s="70" t="s">
        <v>77</v>
      </c>
    </row>
    <row r="94" spans="1:17" ht="15" customHeight="1">
      <c r="A94" s="70"/>
      <c r="B94" s="70"/>
      <c r="C94" s="70"/>
      <c r="D94" s="74"/>
      <c r="E94" s="74"/>
      <c r="F94" s="74"/>
      <c r="G94" s="74"/>
      <c r="H94" s="74"/>
      <c r="I94" s="74"/>
      <c r="J94" s="74"/>
      <c r="K94" s="74"/>
      <c r="L94" s="70" t="s">
        <v>77</v>
      </c>
      <c r="M94" s="82">
        <f>M88*M66</f>
        <v>550.8575133371605</v>
      </c>
      <c r="N94" s="70" t="s">
        <v>34</v>
      </c>
      <c r="O94" s="82">
        <f>O88*M66</f>
        <v>550.8575133371605</v>
      </c>
      <c r="P94" s="70" t="s">
        <v>35</v>
      </c>
      <c r="Q94" s="70" t="s">
        <v>77</v>
      </c>
    </row>
    <row r="95" spans="1:17" ht="15" customHeight="1">
      <c r="A95" s="70"/>
      <c r="B95" s="73" t="s">
        <v>109</v>
      </c>
      <c r="C95" s="70"/>
      <c r="D95" s="74"/>
      <c r="E95" s="102">
        <f>IF(T106&lt;1,IF(S106,X106,1-X106),IF(S106,X107,1-X107))</f>
        <v>0.5748477540795535</v>
      </c>
      <c r="F95" s="77"/>
      <c r="G95" s="77" t="s">
        <v>303</v>
      </c>
      <c r="H95" s="74"/>
      <c r="I95" s="74"/>
      <c r="J95" s="81">
        <f>M66*(G17*G18-I59)</f>
        <v>103.96332666666649</v>
      </c>
      <c r="K95" s="74"/>
      <c r="L95" s="70" t="s">
        <v>77</v>
      </c>
      <c r="M95" s="82">
        <f>M66*M89</f>
        <v>550.8575133371605</v>
      </c>
      <c r="N95" s="70" t="s">
        <v>37</v>
      </c>
      <c r="O95" s="82">
        <f>M66*O89</f>
        <v>550.8575133371605</v>
      </c>
      <c r="P95" s="70" t="s">
        <v>38</v>
      </c>
      <c r="Q95" s="70" t="s">
        <v>77</v>
      </c>
    </row>
    <row r="96" spans="1:17" ht="15" customHeight="1">
      <c r="A96" s="70"/>
      <c r="B96" s="73"/>
      <c r="C96" s="70"/>
      <c r="D96" s="74"/>
      <c r="E96" s="102"/>
      <c r="F96" s="77"/>
      <c r="G96" s="74"/>
      <c r="H96" s="74"/>
      <c r="I96" s="74"/>
      <c r="J96" s="81"/>
      <c r="K96" s="74"/>
      <c r="L96" s="70" t="s">
        <v>77</v>
      </c>
      <c r="M96" s="68">
        <f>O70</f>
        <v>2</v>
      </c>
      <c r="N96" s="70" t="s">
        <v>20</v>
      </c>
      <c r="O96" s="70">
        <f>M70</f>
        <v>1000</v>
      </c>
      <c r="P96" s="70" t="s">
        <v>23</v>
      </c>
      <c r="Q96" s="70" t="s">
        <v>77</v>
      </c>
    </row>
    <row r="97" spans="1:17" ht="15" customHeight="1">
      <c r="A97" s="70"/>
      <c r="B97" s="73"/>
      <c r="C97" s="70"/>
      <c r="D97" s="74"/>
      <c r="E97" s="102"/>
      <c r="F97" s="77"/>
      <c r="G97" s="74"/>
      <c r="H97" s="74"/>
      <c r="I97" s="74"/>
      <c r="J97" s="81"/>
      <c r="K97" s="74"/>
      <c r="L97" s="70" t="s">
        <v>77</v>
      </c>
      <c r="M97" s="82">
        <f>I13*M79*O79</f>
        <v>2000</v>
      </c>
      <c r="N97" s="70" t="s">
        <v>12</v>
      </c>
      <c r="O97" s="82">
        <f>(M74+M70*M73)*M66</f>
        <v>1896.0366733333333</v>
      </c>
      <c r="P97" s="70" t="s">
        <v>21</v>
      </c>
      <c r="Q97" s="70" t="s">
        <v>77</v>
      </c>
    </row>
    <row r="98" spans="1:17" ht="15" customHeight="1">
      <c r="A98" s="70"/>
      <c r="B98" s="73"/>
      <c r="C98" s="70"/>
      <c r="D98" s="74"/>
      <c r="E98" s="102"/>
      <c r="F98" s="77"/>
      <c r="G98" s="74"/>
      <c r="H98" s="74"/>
      <c r="I98" s="74"/>
      <c r="J98" s="81"/>
      <c r="K98" s="74"/>
      <c r="L98" s="70" t="s">
        <v>77</v>
      </c>
      <c r="M98" s="82">
        <f>M97+(0.7857*(O95-M95))</f>
        <v>2000</v>
      </c>
      <c r="N98" s="70" t="s">
        <v>22</v>
      </c>
      <c r="O98" s="82">
        <f>M97-O97</f>
        <v>103.96332666666672</v>
      </c>
      <c r="P98" s="70" t="s">
        <v>10</v>
      </c>
      <c r="Q98" s="70" t="s">
        <v>77</v>
      </c>
    </row>
    <row r="99" spans="1:17" ht="15" customHeight="1">
      <c r="A99" s="70"/>
      <c r="B99" s="73"/>
      <c r="C99" s="70"/>
      <c r="D99" s="74"/>
      <c r="E99" s="102"/>
      <c r="F99" s="77"/>
      <c r="G99" s="74"/>
      <c r="H99" s="74"/>
      <c r="I99" s="74"/>
      <c r="J99" s="81"/>
      <c r="K99" s="74"/>
      <c r="L99" s="70" t="s">
        <v>77</v>
      </c>
      <c r="M99" s="82">
        <f>M98-O97</f>
        <v>103.96332666666672</v>
      </c>
      <c r="N99" s="70" t="s">
        <v>19</v>
      </c>
      <c r="O99" s="70">
        <f>O98-M99</f>
        <v>0</v>
      </c>
      <c r="P99" s="70" t="s">
        <v>11</v>
      </c>
      <c r="Q99" s="70" t="s">
        <v>77</v>
      </c>
    </row>
    <row r="100" spans="1:17" ht="15" customHeight="1">
      <c r="A100" s="70"/>
      <c r="B100" s="70"/>
      <c r="C100" s="70"/>
      <c r="D100" s="70"/>
      <c r="E100" s="70"/>
      <c r="F100" s="70"/>
      <c r="G100" s="74"/>
      <c r="H100" s="74"/>
      <c r="I100" s="74"/>
      <c r="J100" s="74"/>
      <c r="K100" s="74"/>
      <c r="L100" s="70"/>
      <c r="M100" s="70" t="s">
        <v>1</v>
      </c>
      <c r="Q100" s="70" t="s">
        <v>77</v>
      </c>
    </row>
    <row r="101" spans="1:12" ht="15" customHeight="1">
      <c r="A101" s="70"/>
      <c r="B101" s="70"/>
      <c r="C101" s="70"/>
      <c r="D101" s="70"/>
      <c r="E101" s="70"/>
      <c r="F101" s="70"/>
      <c r="G101" s="74"/>
      <c r="H101" s="74"/>
      <c r="I101" s="74"/>
      <c r="J101" s="74"/>
      <c r="K101" s="74"/>
      <c r="L101" s="70"/>
    </row>
    <row r="102" spans="1:30" ht="15" customHeight="1">
      <c r="A102" s="70"/>
      <c r="B102" s="87" t="s">
        <v>339</v>
      </c>
      <c r="C102" s="70"/>
      <c r="D102" s="70"/>
      <c r="E102" s="70"/>
      <c r="F102" s="70"/>
      <c r="G102" s="70"/>
      <c r="H102" s="70"/>
      <c r="I102" s="70"/>
      <c r="J102" s="70"/>
      <c r="K102" s="70" t="s">
        <v>2</v>
      </c>
      <c r="L102" s="70" t="s">
        <v>0</v>
      </c>
      <c r="M102" s="68" t="b">
        <f>+D91&gt;=M99</f>
        <v>1</v>
      </c>
      <c r="N102" s="68">
        <f>ABS((D91-O98)/IF(M102,M95,O95))</f>
        <v>1.5</v>
      </c>
      <c r="O102" s="68">
        <f>MIN(2.5,ABS((D91-(M99+O99*ABS(D91-M99)/ABS(IF(M102,M95+O99,O95-O99))*MIN(1,N102)))/(MIN(1.52,N102)/1.52*IF(M102,M93,O93)+(1.52-MIN(1.52,N102))/3.04*M94+(1.52-MIN(1.52,N102))/3.04*O94)))</f>
        <v>1.5000000000000002</v>
      </c>
      <c r="P102" s="68">
        <f aca="true" t="shared" si="1" ref="P102:P107">1/(1+(0.2316419*O102))</f>
        <v>0.7421354881880416</v>
      </c>
      <c r="Q102" s="68">
        <f aca="true" t="shared" si="2" ref="Q102:Q107">0.398942281*((2.71828)^((-(O102^2)/2)))</f>
        <v>0.12951769387066334</v>
      </c>
      <c r="R102" s="68">
        <f aca="true" t="shared" si="3" ref="R102:R107">Q102*(0.31938153*P102-0.356563782*P102^2+1.781477937*P102^3-1.821255978*P102^4+1.330274429*P102^5)</f>
        <v>0.06680727937584853</v>
      </c>
      <c r="S102" s="68" t="b">
        <f>+E91&gt;=M99</f>
        <v>1</v>
      </c>
      <c r="T102" s="68">
        <f>ABS((E91-O98)/IF(S102,M95,O95))</f>
        <v>1</v>
      </c>
      <c r="U102" s="68">
        <f>MIN(2.5,ABS((E91-(M99+O99*ABS(E91-M99)/ABS(IF(S102,M95+O99,O95-O99))*MIN(1,T102)))/(MIN(1.52,T102)/1.52*IF(S102,M93,O93)+(1.52-MIN(1.52,T102))/3.04*M94+(1.52-MIN(1.52,T102))/3.04*O94)))</f>
        <v>1</v>
      </c>
      <c r="V102" s="68">
        <f aca="true" t="shared" si="4" ref="V102:V107">1/(1+(0.2316419*U102))</f>
        <v>0.8119243101424204</v>
      </c>
      <c r="W102" s="68">
        <f aca="true" t="shared" si="5" ref="W102:W107">0.398942281*((2.71828)^((-(U102^2)/2)))</f>
        <v>0.24197080626333936</v>
      </c>
      <c r="X102" s="68">
        <f aca="true" t="shared" si="6" ref="X102:X107">W102*(0.31938153*V102-0.356563782*V102^2+1.781477937*V102^3-1.821255978*V102^4+1.330274429*V102^5)</f>
        <v>0.15865531316113052</v>
      </c>
      <c r="Y102" s="68" t="b">
        <f>+F91&gt;=M99</f>
        <v>1</v>
      </c>
      <c r="Z102" s="68">
        <f>ABS((F91-O98)/IF(Y102,M95,O95))</f>
        <v>0.5</v>
      </c>
      <c r="AA102" s="68">
        <f>MIN(2.5,ABS((F91-(M99+O99*ABS(F91-M99)/ABS(IF(Y102,M95+O99,O95-O99))*MIN(1,Z102)))/(MIN(1.52,Z102)/1.52*IF(Y102,M93,O93)+(1.52-MIN(1.52,Z102))/3.04*M94+(1.52-MIN(1.52,Z102))/3.04*O94)))</f>
        <v>0.5</v>
      </c>
      <c r="AB102" s="68">
        <f>1/(1+(0.2316419*AA102))</f>
        <v>0.8962011333449152</v>
      </c>
      <c r="AC102" s="68">
        <f>0.398942281*((2.71828)^((-(AA102^2)/2)))</f>
        <v>0.35206535689474694</v>
      </c>
      <c r="AD102" s="68">
        <f>AC102*(0.31938153*AB102-0.356563782*AB102^2+1.781477937*AB102^3-1.821255978*AB102^4+1.330274429*AB102^5)</f>
        <v>0.30853755861792775</v>
      </c>
    </row>
    <row r="103" spans="1:30" ht="1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O103" s="68">
        <f>MIN(2.5,ABS((D91-O98)/(MIN(1.52,N102)/1.52*IF(M102,M93,O93)+(1.52-MIN(1.52,N102))/3.04*M94+(1.52-MIN(1.52,N102))/3.04*O94)))</f>
        <v>1.5000000000000002</v>
      </c>
      <c r="P103" s="68">
        <f t="shared" si="1"/>
        <v>0.7421354881880416</v>
      </c>
      <c r="Q103" s="68">
        <f t="shared" si="2"/>
        <v>0.12951769387066334</v>
      </c>
      <c r="R103" s="68">
        <f t="shared" si="3"/>
        <v>0.06680727937584853</v>
      </c>
      <c r="U103" s="68">
        <f>MIN(2.5,ABS((E91-O98)/(MIN(1.52,T102)/1.52*IF(S102,M93,O93)+(1.52-MIN(1.52,T102))/3.04*M94+(1.52-MIN(1.52,T102))/3.04*O94)))</f>
        <v>1</v>
      </c>
      <c r="V103" s="68">
        <f t="shared" si="4"/>
        <v>0.8119243101424204</v>
      </c>
      <c r="W103" s="68">
        <f t="shared" si="5"/>
        <v>0.24197080626333936</v>
      </c>
      <c r="X103" s="68">
        <f t="shared" si="6"/>
        <v>0.15865531316113052</v>
      </c>
      <c r="AA103" s="68">
        <f>MIN(2.5,ABS((F91-O98)/(MIN(1.52,Z102)/1.52*IF(Y102,M93,O93)+(1.52-MIN(1.52,Z102))/3.04*M94+(1.52-MIN(1.52,Z102))/3.04*O94)))</f>
        <v>0.5</v>
      </c>
      <c r="AB103" s="68">
        <f>1/(1+(0.2316419*AA103))</f>
        <v>0.8962011333449152</v>
      </c>
      <c r="AC103" s="68">
        <f>0.398942281*((2.71828)^((-(AA103^2)/2)))</f>
        <v>0.35206535689474694</v>
      </c>
      <c r="AD103" s="68">
        <f>AC103*(0.31938153*AB103-0.356563782*AB103^2+1.781477937*AB103^3-1.821255978*AB103^4+1.330274429*AB103^5)</f>
        <v>0.30853755861792775</v>
      </c>
    </row>
    <row r="104" spans="1:30" ht="15" customHeight="1">
      <c r="A104" s="70"/>
      <c r="B104" s="70"/>
      <c r="C104" s="77" t="s">
        <v>101</v>
      </c>
      <c r="D104" s="77" t="s">
        <v>290</v>
      </c>
      <c r="E104" s="77" t="s">
        <v>290</v>
      </c>
      <c r="F104" s="77" t="s">
        <v>121</v>
      </c>
      <c r="G104" s="77" t="s">
        <v>186</v>
      </c>
      <c r="H104" s="77" t="s">
        <v>186</v>
      </c>
      <c r="I104" s="77" t="s">
        <v>253</v>
      </c>
      <c r="J104" s="87" t="s">
        <v>337</v>
      </c>
      <c r="K104" s="70"/>
      <c r="L104" s="70"/>
      <c r="M104" s="68" t="b">
        <f>+G91&gt;=M99</f>
        <v>1</v>
      </c>
      <c r="N104" s="68">
        <f>ABS((G91-O98)/IF(M104,M95,O95))</f>
        <v>0</v>
      </c>
      <c r="O104" s="68">
        <f>MIN(2.5,ABS((G91-(M99+O99*ABS(G91-M99)/ABS(IF(M104,M95+O99,O95-O99))*MIN(1,N104)))/(MIN(1.52,N104)/1.52*IF(M104,M93,O93)+(1.52-MIN(1.52,N104))/3.04*M94+(1.52-MIN(1.52,N104))/3.04*O94)))</f>
        <v>0</v>
      </c>
      <c r="P104" s="68">
        <f t="shared" si="1"/>
        <v>1</v>
      </c>
      <c r="Q104" s="68">
        <f t="shared" si="2"/>
        <v>0.398942281</v>
      </c>
      <c r="R104" s="68">
        <f t="shared" si="3"/>
        <v>0.5000000002253843</v>
      </c>
      <c r="S104" s="68" t="b">
        <f>+H91&gt;=M99</f>
        <v>0</v>
      </c>
      <c r="T104" s="68">
        <f>ABS((H91-O98)/IF(S104,M95,O95))</f>
        <v>0.5</v>
      </c>
      <c r="U104" s="68">
        <f>MIN(2.5,ABS((H91-(M99+O99*ABS(H91-M99)/ABS(IF(S104,M95+O99,O95-O99))*MIN(1,T104)))/(MIN(1.52,T104)/1.52*IF(S104,M93,O93)+(1.52-MIN(1.52,T104))/3.04*M94+(1.52-MIN(1.52,T104))/3.04*O94)))</f>
        <v>0.5</v>
      </c>
      <c r="V104" s="68">
        <f t="shared" si="4"/>
        <v>0.8962011333449152</v>
      </c>
      <c r="W104" s="68">
        <f t="shared" si="5"/>
        <v>0.35206535689474694</v>
      </c>
      <c r="X104" s="68">
        <f t="shared" si="6"/>
        <v>0.30853755861792775</v>
      </c>
      <c r="Y104" s="68" t="b">
        <f>+I91&gt;=M99</f>
        <v>0</v>
      </c>
      <c r="Z104" s="68">
        <f>ABS((I91-O98)/IF(Y104,M95,O95))</f>
        <v>1</v>
      </c>
      <c r="AA104" s="68">
        <f>MIN(2.5,ABS((I91-(M99+O99*ABS(I91-M99)/ABS(IF(Y104,M95+O99,O95-O99))*MIN(1,Z104)))/(MIN(1.52,Z104)/1.52*IF(Y104,M93,O93)+(1.52-MIN(1.52,Z104))/3.04*M94+(1.52-MIN(1.52,Z104))/3.04*O94)))</f>
        <v>1</v>
      </c>
      <c r="AB104" s="68">
        <f>1/(1+(0.2316419*AA104))</f>
        <v>0.8119243101424204</v>
      </c>
      <c r="AC104" s="68">
        <f>0.398942281*((2.71828)^((-(AA104^2)/2)))</f>
        <v>0.24197080626333936</v>
      </c>
      <c r="AD104" s="68">
        <f>AC104*(0.31938153*AB104-0.356563782*AB104^2+1.781477937*AB104^3-1.821255978*AB104^4+1.330274429*AB104^5)</f>
        <v>0.15865531316113052</v>
      </c>
    </row>
    <row r="105" spans="1:30" ht="15" customHeight="1">
      <c r="A105" s="70"/>
      <c r="B105" s="77" t="s">
        <v>338</v>
      </c>
      <c r="C105" s="77"/>
      <c r="D105" s="77"/>
      <c r="E105" s="77"/>
      <c r="F105" s="77" t="s">
        <v>291</v>
      </c>
      <c r="G105" s="77"/>
      <c r="H105" s="77"/>
      <c r="I105" s="77"/>
      <c r="J105" s="77" t="s">
        <v>302</v>
      </c>
      <c r="K105" s="70"/>
      <c r="L105" s="70"/>
      <c r="O105" s="68">
        <f>MIN(2.5,ABS((G91-O98)/(MIN(1.52,N104)/1.52*IF(M104,M93,O93)+(1.52-MIN(1.52,N104))/3.04*M94+(1.52-MIN(1.52,N104))/3.04*O94)))</f>
        <v>0</v>
      </c>
      <c r="P105" s="68">
        <f t="shared" si="1"/>
        <v>1</v>
      </c>
      <c r="Q105" s="68">
        <f t="shared" si="2"/>
        <v>0.398942281</v>
      </c>
      <c r="R105" s="68">
        <f t="shared" si="3"/>
        <v>0.5000000002253843</v>
      </c>
      <c r="U105" s="68">
        <f>MIN(2.5,ABS((H91-O98)/(MIN(1.52,T104)/1.52*IF(S104,M93,O93)+(1.52-MIN(1.52,T104))/3.04*M94+(1.52-MIN(1.52,T104))/3.04*O94)))</f>
        <v>0.5</v>
      </c>
      <c r="V105" s="68">
        <f t="shared" si="4"/>
        <v>0.8962011333449152</v>
      </c>
      <c r="W105" s="68">
        <f t="shared" si="5"/>
        <v>0.35206535689474694</v>
      </c>
      <c r="X105" s="68">
        <f t="shared" si="6"/>
        <v>0.30853755861792775</v>
      </c>
      <c r="AA105" s="68">
        <f>MIN(2.5,ABS((I91-O98)/(MIN(1.52,Z104)/1.52*IF(Y104,M93,O93)+(1.52-MIN(1.52,Z104))/3.04*M94+(1.52-MIN(1.52,Z104))/3.04*O94)))</f>
        <v>1</v>
      </c>
      <c r="AB105" s="68">
        <f>1/(1+(0.2316419*AA105))</f>
        <v>0.8119243101424204</v>
      </c>
      <c r="AC105" s="68">
        <f>0.398942281*((2.71828)^((-(AA105^2)/2)))</f>
        <v>0.24197080626333936</v>
      </c>
      <c r="AD105" s="68">
        <f>AC105*(0.31938153*AB105-0.356563782*AB105^2+1.781477937*AB105^3-1.821255978*AB105^4+1.330274429*AB105^5)</f>
        <v>0.15865531316113052</v>
      </c>
    </row>
    <row r="106" spans="1:24" ht="15" customHeight="1">
      <c r="A106" s="70"/>
      <c r="B106" s="103">
        <v>1.4</v>
      </c>
      <c r="C106" s="104">
        <v>122</v>
      </c>
      <c r="D106" s="105">
        <v>-84</v>
      </c>
      <c r="E106" s="105">
        <v>-290</v>
      </c>
      <c r="F106" s="105">
        <v>-496</v>
      </c>
      <c r="G106" s="106">
        <v>-702</v>
      </c>
      <c r="H106" s="106">
        <v>-908</v>
      </c>
      <c r="I106" s="105">
        <v>-1114</v>
      </c>
      <c r="J106" s="89">
        <v>11</v>
      </c>
      <c r="K106" s="70"/>
      <c r="L106" s="70"/>
      <c r="M106" s="68" t="b">
        <f>+J91&gt;=M99</f>
        <v>0</v>
      </c>
      <c r="N106" s="68">
        <f>ABS((J91-O98)/IF(M106,M95,O95))</f>
        <v>1.5</v>
      </c>
      <c r="O106" s="68">
        <f>MIN(2.5,ABS((J91-(M99+O99*ABS(J91-M99)/ABS(IF(M106,M95+O99,O95-O99))*MIN(1,N106)))/(MIN(1.52,N106)/1.52*IF(M106,M93,O93)+(1.52-MIN(1.52,N106))/3.04*M94+(1.52-MIN(1.52,N106))/3.04*O94)))</f>
        <v>1.5000000000000002</v>
      </c>
      <c r="P106" s="68">
        <f t="shared" si="1"/>
        <v>0.7421354881880416</v>
      </c>
      <c r="Q106" s="68">
        <f t="shared" si="2"/>
        <v>0.12951769387066334</v>
      </c>
      <c r="R106" s="68">
        <f t="shared" si="3"/>
        <v>0.06680727937584853</v>
      </c>
      <c r="S106" s="68" t="b">
        <f>0&gt;=M99</f>
        <v>0</v>
      </c>
      <c r="T106" s="68">
        <f>ABS((0-O98)/IF(S106,M95,O95))</f>
        <v>0.18872997853264173</v>
      </c>
      <c r="U106" s="68">
        <f>MIN(2.5,ABS((0-(M99+O99*ABS(0-M99)/ABS(IF(S106,M95+O99,O95-O99))*MIN(1,T106)))/(MIN(1.52,T106)/1.52*IF(S106,M93,O93)+(1.52-MIN(1.52,T106))/3.04*M94+(1.52-MIN(1.52,T106))/3.04*O94)))</f>
        <v>0.18872997853264173</v>
      </c>
      <c r="V106" s="68">
        <f t="shared" si="4"/>
        <v>0.9581134172122471</v>
      </c>
      <c r="W106" s="68">
        <f t="shared" si="5"/>
        <v>0.39190021619303056</v>
      </c>
      <c r="X106" s="68">
        <f t="shared" si="6"/>
        <v>0.42515224592044654</v>
      </c>
    </row>
    <row r="107" spans="1:24" ht="15" customHeight="1">
      <c r="A107" s="70"/>
      <c r="B107" s="103">
        <v>1.7</v>
      </c>
      <c r="C107" s="104">
        <v>521</v>
      </c>
      <c r="D107" s="107">
        <v>282</v>
      </c>
      <c r="E107" s="107">
        <v>43</v>
      </c>
      <c r="F107" s="105">
        <v>-196</v>
      </c>
      <c r="G107" s="105">
        <v>-435</v>
      </c>
      <c r="H107" s="105">
        <v>-674</v>
      </c>
      <c r="I107" s="105">
        <v>-913</v>
      </c>
      <c r="J107" s="89">
        <v>34</v>
      </c>
      <c r="K107" s="70"/>
      <c r="L107" s="70"/>
      <c r="O107" s="68">
        <f>MIN(2.5,ABS((J91-O98)/(MIN(1.52,N106)/1.52*IF(M106,M93,O93)+(1.52-MIN(1.52,N106))/3.04*M94+(1.52-MIN(1.52,N106))/3.04*O94)))</f>
        <v>1.5000000000000002</v>
      </c>
      <c r="P107" s="68">
        <f t="shared" si="1"/>
        <v>0.7421354881880416</v>
      </c>
      <c r="Q107" s="68">
        <f t="shared" si="2"/>
        <v>0.12951769387066334</v>
      </c>
      <c r="R107" s="68">
        <f t="shared" si="3"/>
        <v>0.06680727937584853</v>
      </c>
      <c r="U107" s="68">
        <f>MIN(2.5,ABS((0-O98)/(MIN(1.52,T106)/1.52*IF(S106,M93,O93)+(1.52-MIN(1.52,T106))/3.04*M94+(1.52-MIN(1.52,T106))/3.04*O94)))</f>
        <v>0.18872997853264173</v>
      </c>
      <c r="V107" s="68">
        <f t="shared" si="4"/>
        <v>0.9581134172122471</v>
      </c>
      <c r="W107" s="68">
        <f t="shared" si="5"/>
        <v>0.39190021619303056</v>
      </c>
      <c r="X107" s="68">
        <f t="shared" si="6"/>
        <v>0.42515224592044654</v>
      </c>
    </row>
    <row r="108" spans="1:12" ht="15" customHeight="1">
      <c r="A108" s="70"/>
      <c r="B108" s="103">
        <v>2</v>
      </c>
      <c r="C108" s="104">
        <v>930</v>
      </c>
      <c r="D108" s="107">
        <v>655</v>
      </c>
      <c r="E108" s="107">
        <v>379</v>
      </c>
      <c r="F108" s="108">
        <v>104</v>
      </c>
      <c r="G108" s="105">
        <v>-171</v>
      </c>
      <c r="H108" s="106">
        <v>-447</v>
      </c>
      <c r="I108" s="105">
        <v>-722</v>
      </c>
      <c r="J108" s="89">
        <v>57</v>
      </c>
      <c r="K108" s="70"/>
      <c r="L108" s="70"/>
    </row>
    <row r="109" spans="1:12" ht="15" customHeight="1">
      <c r="A109" s="70"/>
      <c r="B109" s="103">
        <v>2.3</v>
      </c>
      <c r="C109" s="104">
        <v>1346</v>
      </c>
      <c r="D109" s="107">
        <v>1032</v>
      </c>
      <c r="E109" s="107">
        <v>718</v>
      </c>
      <c r="F109" s="108">
        <v>404</v>
      </c>
      <c r="G109" s="107">
        <v>90</v>
      </c>
      <c r="H109" s="106">
        <v>-224</v>
      </c>
      <c r="I109" s="105">
        <v>-538</v>
      </c>
      <c r="J109" s="89">
        <v>74</v>
      </c>
      <c r="K109" s="70"/>
      <c r="L109" s="70"/>
    </row>
    <row r="110" spans="1:12" ht="15" customHeight="1">
      <c r="A110" s="70" t="s">
        <v>78</v>
      </c>
      <c r="B110" s="103">
        <v>2.6</v>
      </c>
      <c r="C110" s="104">
        <v>1767</v>
      </c>
      <c r="D110" s="107">
        <v>1413</v>
      </c>
      <c r="E110" s="107">
        <v>1058</v>
      </c>
      <c r="F110" s="108">
        <v>704</v>
      </c>
      <c r="G110" s="107">
        <v>350</v>
      </c>
      <c r="H110" s="105">
        <v>-5</v>
      </c>
      <c r="I110" s="105">
        <v>-359</v>
      </c>
      <c r="J110" s="89">
        <v>84</v>
      </c>
      <c r="K110" s="70"/>
      <c r="L110" s="70"/>
    </row>
    <row r="111" spans="1:12" ht="1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1:12" ht="1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1:12" ht="15" customHeight="1">
      <c r="A113" s="70"/>
      <c r="B113" s="67" t="s">
        <v>307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70"/>
    </row>
    <row r="114" spans="1:12" ht="15" customHeight="1">
      <c r="A114" s="70"/>
      <c r="B114" s="68" t="s">
        <v>308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70"/>
    </row>
    <row r="115" spans="1:12" ht="15" customHeight="1">
      <c r="A115" s="70"/>
      <c r="B115" s="68" t="s">
        <v>309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70"/>
    </row>
    <row r="116" spans="1:12" ht="15" customHeight="1">
      <c r="A116" s="70"/>
      <c r="B116" s="68" t="s">
        <v>310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70"/>
    </row>
    <row r="117" spans="1:12" ht="1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 ht="1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ht="1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 ht="1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2" ht="1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ht="15" customHeight="1">
      <c r="A122" s="70"/>
      <c r="B122" s="70"/>
      <c r="C122" s="70"/>
      <c r="D122" s="72"/>
      <c r="E122" s="72"/>
      <c r="F122" s="72"/>
      <c r="G122" s="72"/>
      <c r="H122" s="72"/>
      <c r="I122" s="72"/>
      <c r="J122" s="70"/>
      <c r="K122" s="70"/>
      <c r="L122" s="70"/>
    </row>
    <row r="123" spans="1:12" ht="15" customHeight="1">
      <c r="A123" s="70"/>
      <c r="B123" s="70"/>
      <c r="C123" s="70"/>
      <c r="D123" s="72"/>
      <c r="E123" s="72"/>
      <c r="F123" s="72"/>
      <c r="G123" s="72"/>
      <c r="H123" s="72"/>
      <c r="I123" s="72"/>
      <c r="J123" s="70"/>
      <c r="K123" s="70"/>
      <c r="L123" s="70"/>
    </row>
    <row r="124" spans="1:12" ht="1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ht="15" customHeight="1">
      <c r="A125" s="70"/>
      <c r="B125" s="109"/>
      <c r="C125" s="109"/>
      <c r="D125" s="109"/>
      <c r="E125" s="109"/>
      <c r="F125" s="109"/>
      <c r="G125" s="109"/>
      <c r="H125" s="109"/>
      <c r="I125" s="109"/>
      <c r="J125" s="110"/>
      <c r="K125" s="70"/>
      <c r="L125" s="70"/>
    </row>
    <row r="126" spans="1:12" ht="15" customHeight="1">
      <c r="A126" s="70"/>
      <c r="B126" s="151"/>
      <c r="C126" s="151"/>
      <c r="D126" s="151"/>
      <c r="E126" s="151"/>
      <c r="F126" s="151"/>
      <c r="G126" s="151"/>
      <c r="H126" s="151"/>
      <c r="I126" s="151"/>
      <c r="J126" s="151"/>
      <c r="K126" s="70"/>
      <c r="L126" s="70"/>
    </row>
    <row r="127" spans="1:12" ht="12.75">
      <c r="A127" s="70"/>
      <c r="B127" s="111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2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1:12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1:12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12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12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1:12" ht="12.75">
      <c r="A134" s="70"/>
      <c r="B134" s="73"/>
      <c r="C134" s="73"/>
      <c r="D134" s="73"/>
      <c r="E134" s="76"/>
      <c r="F134" s="76"/>
      <c r="G134" s="76"/>
      <c r="H134" s="78"/>
      <c r="I134" s="78"/>
      <c r="J134" s="70"/>
      <c r="K134" s="70"/>
      <c r="L134" s="70"/>
    </row>
    <row r="135" spans="1:12" ht="12.75">
      <c r="A135" s="70"/>
      <c r="B135" s="70"/>
      <c r="C135" s="70"/>
      <c r="D135" s="70"/>
      <c r="E135" s="74"/>
      <c r="F135" s="74"/>
      <c r="G135" s="74"/>
      <c r="H135" s="74"/>
      <c r="I135" s="74"/>
      <c r="J135" s="70"/>
      <c r="K135" s="70"/>
      <c r="L135" s="70"/>
    </row>
    <row r="136" spans="1:12" ht="12.75">
      <c r="A136" s="70"/>
      <c r="B136" s="70"/>
      <c r="C136" s="70"/>
      <c r="D136" s="70"/>
      <c r="E136" s="75"/>
      <c r="F136" s="75"/>
      <c r="G136" s="80"/>
      <c r="H136" s="75"/>
      <c r="I136" s="75"/>
      <c r="J136" s="70"/>
      <c r="K136" s="70"/>
      <c r="L136" s="70"/>
    </row>
    <row r="137" spans="1:12" ht="12.75">
      <c r="A137" s="70"/>
      <c r="B137" s="70"/>
      <c r="C137" s="70"/>
      <c r="D137" s="70"/>
      <c r="E137" s="79"/>
      <c r="F137" s="79"/>
      <c r="G137" s="78"/>
      <c r="H137" s="79"/>
      <c r="I137" s="79"/>
      <c r="J137" s="70"/>
      <c r="K137" s="70"/>
      <c r="L137" s="70"/>
    </row>
    <row r="138" spans="1:12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12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12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12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1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</row>
    <row r="143" spans="1:11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1:11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</row>
    <row r="145" spans="1:12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165"/>
    </row>
    <row r="146" spans="1:12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165"/>
    </row>
    <row r="147" spans="1:12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165"/>
    </row>
    <row r="148" spans="1:12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165"/>
    </row>
    <row r="149" spans="1:12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165"/>
    </row>
    <row r="150" spans="1:12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165"/>
    </row>
    <row r="151" spans="1:12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165"/>
    </row>
    <row r="152" spans="1:12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165"/>
    </row>
    <row r="153" spans="1:12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165"/>
    </row>
    <row r="154" spans="1:12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165"/>
    </row>
    <row r="155" spans="1:12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165"/>
    </row>
    <row r="156" spans="1:12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165"/>
    </row>
    <row r="157" spans="1:12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165"/>
    </row>
    <row r="158" spans="1:12" ht="12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165"/>
    </row>
    <row r="159" spans="1:12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165"/>
    </row>
    <row r="160" spans="1:12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165"/>
    </row>
    <row r="161" spans="1:12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165"/>
    </row>
    <row r="162" spans="1:12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165"/>
    </row>
    <row r="163" spans="1:12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165"/>
    </row>
    <row r="164" ht="12.75">
      <c r="L164" s="165"/>
    </row>
    <row r="165" ht="12.75">
      <c r="L165" s="165"/>
    </row>
    <row r="166" ht="12.75">
      <c r="L166" s="165"/>
    </row>
    <row r="167" ht="12.75">
      <c r="L167" s="165"/>
    </row>
    <row r="168" ht="12.75">
      <c r="L168" s="165"/>
    </row>
    <row r="169" ht="12.75">
      <c r="L169" s="165"/>
    </row>
  </sheetData>
  <sheetProtection/>
  <mergeCells count="11">
    <mergeCell ref="B85:J85"/>
    <mergeCell ref="B86:J86"/>
    <mergeCell ref="B87:J87"/>
    <mergeCell ref="C72:I72"/>
    <mergeCell ref="B126:J126"/>
    <mergeCell ref="A1:K1"/>
    <mergeCell ref="A2:K2"/>
    <mergeCell ref="A3:K3"/>
    <mergeCell ref="A4:K4"/>
    <mergeCell ref="C61:I61"/>
    <mergeCell ref="B83:J83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21.7109375" style="0" customWidth="1"/>
    <col min="4" max="4" width="10.8515625" style="0" customWidth="1"/>
    <col min="5" max="5" width="11.7109375" style="0" customWidth="1"/>
    <col min="6" max="6" width="10.140625" style="0" customWidth="1"/>
    <col min="8" max="8" width="6.7109375" style="0" customWidth="1"/>
    <col min="9" max="9" width="14.57421875" style="0" customWidth="1"/>
    <col min="10" max="10" width="14.7109375" style="0" customWidth="1"/>
    <col min="11" max="11" width="14.00390625" style="0" customWidth="1"/>
    <col min="12" max="12" width="12.421875" style="0" customWidth="1"/>
    <col min="13" max="13" width="9.8515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0"/>
      <c r="E8" s="1"/>
      <c r="F8" s="1"/>
      <c r="G8" s="1"/>
      <c r="H8" s="1"/>
      <c r="I8" s="1"/>
      <c r="J8" s="1"/>
      <c r="K8" s="1"/>
      <c r="L8" s="1"/>
      <c r="M8" s="6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"/>
      <c r="C9" s="1"/>
      <c r="D9" s="10"/>
      <c r="E9" s="1"/>
      <c r="F9" s="1"/>
      <c r="G9" s="1"/>
      <c r="H9" s="1"/>
      <c r="I9" s="1"/>
      <c r="J9" s="61"/>
      <c r="K9" s="1"/>
      <c r="L9" s="1"/>
      <c r="M9" s="6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0"/>
      <c r="E10" s="1"/>
      <c r="F10" s="1"/>
      <c r="G10" s="1"/>
      <c r="H10" s="1"/>
      <c r="I10" s="65"/>
      <c r="J10" s="66"/>
      <c r="K10" s="34"/>
      <c r="L10" s="34"/>
      <c r="M10" s="66"/>
      <c r="N10" s="66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0"/>
      <c r="E11" s="1"/>
      <c r="F11" s="1"/>
      <c r="G11" s="1"/>
      <c r="H11" s="1"/>
      <c r="I11" s="65"/>
      <c r="J11" s="66"/>
      <c r="K11" s="34"/>
      <c r="L11" s="34"/>
      <c r="M11" s="66"/>
      <c r="N11" s="66"/>
      <c r="O11" s="1"/>
      <c r="P11" s="1"/>
      <c r="Q11" s="1"/>
      <c r="R11" s="1"/>
      <c r="S11" s="1"/>
      <c r="T11" s="1"/>
      <c r="U11" s="1"/>
      <c r="V11" s="1"/>
    </row>
    <row r="12" spans="1:22" ht="12.75">
      <c r="A12" s="1"/>
      <c r="B12" s="1"/>
      <c r="C12" s="1"/>
      <c r="D12" s="10"/>
      <c r="E12" s="1"/>
      <c r="F12" s="1"/>
      <c r="G12" s="1"/>
      <c r="H12" s="1"/>
      <c r="I12" s="65"/>
      <c r="J12" s="66"/>
      <c r="K12" s="34"/>
      <c r="L12" s="34"/>
      <c r="M12" s="66"/>
      <c r="N12" s="66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34"/>
      <c r="C13" s="34"/>
      <c r="D13" s="63"/>
      <c r="E13" s="34"/>
      <c r="F13" s="34"/>
      <c r="G13" s="1"/>
      <c r="H13" s="1"/>
      <c r="I13" s="65"/>
      <c r="J13" s="66"/>
      <c r="K13" s="34"/>
      <c r="L13" s="34"/>
      <c r="M13" s="66"/>
      <c r="N13" s="66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"/>
      <c r="C14" s="1"/>
      <c r="D14" s="10"/>
      <c r="E14" s="1"/>
      <c r="F14" s="1"/>
      <c r="G14" s="1"/>
      <c r="H14" s="1"/>
      <c r="I14" s="65"/>
      <c r="J14" s="66"/>
      <c r="K14" s="34"/>
      <c r="L14" s="34"/>
      <c r="M14" s="66"/>
      <c r="N14" s="66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1"/>
      <c r="C15" s="1"/>
      <c r="D15" s="10"/>
      <c r="E15" s="1"/>
      <c r="F15" s="1"/>
      <c r="G15" s="1"/>
      <c r="H15" s="1"/>
      <c r="I15" s="62"/>
      <c r="J15" s="61"/>
      <c r="K15" s="1"/>
      <c r="L15" s="1"/>
      <c r="M15" s="61"/>
      <c r="N15" s="61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"/>
      <c r="C16" s="1"/>
      <c r="D16" s="10"/>
      <c r="E16" s="1"/>
      <c r="F16" s="1"/>
      <c r="G16" s="1"/>
      <c r="H16" s="1"/>
      <c r="I16" s="62"/>
      <c r="J16" s="61"/>
      <c r="K16" s="1"/>
      <c r="L16" s="1"/>
      <c r="M16" s="61"/>
      <c r="N16" s="6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1"/>
      <c r="D17" s="10"/>
      <c r="E17" s="1"/>
      <c r="F17" s="1"/>
      <c r="G17" s="1"/>
      <c r="H17" s="1"/>
      <c r="I17" s="62"/>
      <c r="J17" s="61"/>
      <c r="K17" s="1"/>
      <c r="L17" s="1"/>
      <c r="M17" s="61"/>
      <c r="N17" s="61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34"/>
      <c r="C18" s="34"/>
      <c r="D18" s="63"/>
      <c r="E18" s="34"/>
      <c r="F18" s="34"/>
      <c r="G18" s="1"/>
      <c r="H18" s="1"/>
      <c r="I18" s="62"/>
      <c r="J18" s="61"/>
      <c r="K18" s="1"/>
      <c r="L18" s="1"/>
      <c r="M18" s="61"/>
      <c r="N18" s="61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0"/>
      <c r="E19" s="1"/>
      <c r="F19" s="1"/>
      <c r="G19" s="1"/>
      <c r="H19" s="1"/>
      <c r="I19" s="62"/>
      <c r="J19" s="64"/>
      <c r="K19" s="1"/>
      <c r="L19" s="1"/>
      <c r="M19" s="61"/>
      <c r="N19" s="6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34"/>
      <c r="C26" s="34"/>
      <c r="D26" s="63"/>
      <c r="E26" s="34"/>
      <c r="F26" s="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20" t="s">
        <v>196</v>
      </c>
      <c r="B1" s="1" t="s">
        <v>79</v>
      </c>
      <c r="C1" s="9"/>
      <c r="D1" s="20" t="s">
        <v>196</v>
      </c>
      <c r="E1" s="1" t="s">
        <v>79</v>
      </c>
      <c r="F1" s="9"/>
      <c r="G1" s="20" t="s">
        <v>196</v>
      </c>
      <c r="H1" s="1" t="s">
        <v>79</v>
      </c>
    </row>
    <row r="2" spans="1:8" ht="12.75">
      <c r="A2" s="3" t="s">
        <v>87</v>
      </c>
      <c r="B2" s="1" t="s">
        <v>83</v>
      </c>
      <c r="C2" s="9"/>
      <c r="D2" s="3" t="s">
        <v>87</v>
      </c>
      <c r="E2" s="1" t="s">
        <v>80</v>
      </c>
      <c r="F2" s="9"/>
      <c r="G2" s="3" t="s">
        <v>87</v>
      </c>
      <c r="H2" s="1" t="s">
        <v>86</v>
      </c>
    </row>
    <row r="3" spans="1:8" ht="12.75">
      <c r="A3" s="3" t="s">
        <v>87</v>
      </c>
      <c r="B3" s="1" t="s">
        <v>81</v>
      </c>
      <c r="D3" s="3" t="s">
        <v>87</v>
      </c>
      <c r="E3" s="1" t="s">
        <v>82</v>
      </c>
      <c r="G3" s="3" t="s">
        <v>87</v>
      </c>
      <c r="H3" s="1" t="s">
        <v>81</v>
      </c>
    </row>
    <row r="4" spans="1:8" ht="12.75">
      <c r="A4" s="3" t="s">
        <v>87</v>
      </c>
      <c r="B4" s="1" t="s">
        <v>84</v>
      </c>
      <c r="D4" s="3" t="s">
        <v>87</v>
      </c>
      <c r="E4" s="1" t="s">
        <v>85</v>
      </c>
      <c r="G4" s="3" t="s">
        <v>87</v>
      </c>
      <c r="H4" s="1" t="s">
        <v>84</v>
      </c>
    </row>
    <row r="5" ht="12.75">
      <c r="A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57"/>
  <sheetViews>
    <sheetView zoomScalePageLayoutView="0" workbookViewId="0" topLeftCell="B1">
      <selection activeCell="K8" sqref="K8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3.57421875" style="1" customWidth="1"/>
    <col min="4" max="4" width="6.28125" style="1" customWidth="1"/>
    <col min="5" max="5" width="9.7109375" style="1" customWidth="1"/>
    <col min="6" max="12" width="9.140625" style="1" customWidth="1"/>
    <col min="13" max="13" width="12.57421875" style="1" customWidth="1"/>
    <col min="14" max="14" width="11.7109375" style="1" customWidth="1"/>
    <col min="15" max="15" width="11.421875" style="1" customWidth="1"/>
    <col min="16" max="16" width="11.8515625" style="1" customWidth="1"/>
    <col min="17" max="17" width="12.140625" style="1" customWidth="1"/>
    <col min="18" max="16384" width="9.140625" style="1" customWidth="1"/>
  </cols>
  <sheetData>
    <row r="2" ht="12.75">
      <c r="B2" s="47" t="s">
        <v>296</v>
      </c>
    </row>
    <row r="4" spans="1:9" ht="15.75">
      <c r="A4" s="155" t="s">
        <v>292</v>
      </c>
      <c r="B4" s="156"/>
      <c r="C4" s="156"/>
      <c r="D4" s="156"/>
      <c r="E4" s="156"/>
      <c r="F4" s="156"/>
      <c r="G4" s="156"/>
      <c r="H4" s="156"/>
      <c r="I4" s="156"/>
    </row>
    <row r="5" spans="2:8" ht="15.75">
      <c r="B5" s="155" t="s">
        <v>311</v>
      </c>
      <c r="C5" s="157"/>
      <c r="D5" s="157"/>
      <c r="E5" s="157"/>
      <c r="F5" s="157"/>
      <c r="G5" s="157"/>
      <c r="H5" s="157"/>
    </row>
    <row r="8" spans="2:8" ht="12.75">
      <c r="B8" s="21" t="s">
        <v>179</v>
      </c>
      <c r="C8" s="21"/>
      <c r="D8" s="26"/>
      <c r="E8" s="12" t="s">
        <v>244</v>
      </c>
      <c r="F8" s="12" t="s">
        <v>198</v>
      </c>
      <c r="G8" s="6" t="s">
        <v>194</v>
      </c>
      <c r="H8" s="5" t="s">
        <v>92</v>
      </c>
    </row>
    <row r="9" spans="2:8" ht="12.75">
      <c r="B9" s="26" t="s">
        <v>275</v>
      </c>
      <c r="C9" s="26"/>
      <c r="D9" s="26"/>
      <c r="E9" s="26" t="s">
        <v>88</v>
      </c>
      <c r="F9" s="30">
        <v>1</v>
      </c>
      <c r="G9" s="33">
        <v>0</v>
      </c>
      <c r="H9" s="30">
        <f aca="true" t="shared" si="0" ref="H9:H22">F9*G9</f>
        <v>0</v>
      </c>
    </row>
    <row r="10" spans="2:8" ht="12.75">
      <c r="B10" s="26" t="s">
        <v>167</v>
      </c>
      <c r="C10" s="26"/>
      <c r="D10" s="26"/>
      <c r="E10" s="27" t="s">
        <v>221</v>
      </c>
      <c r="F10" s="30">
        <v>1</v>
      </c>
      <c r="G10" s="30">
        <v>30</v>
      </c>
      <c r="H10" s="30">
        <f t="shared" si="0"/>
        <v>30</v>
      </c>
    </row>
    <row r="11" spans="2:8" ht="12.75">
      <c r="B11" s="26" t="s">
        <v>125</v>
      </c>
      <c r="C11" s="26"/>
      <c r="D11" s="26"/>
      <c r="E11" s="27" t="s">
        <v>164</v>
      </c>
      <c r="F11" s="30">
        <v>12</v>
      </c>
      <c r="G11" s="30">
        <v>3.33</v>
      </c>
      <c r="H11" s="30">
        <f t="shared" si="0"/>
        <v>39.96</v>
      </c>
    </row>
    <row r="12" spans="2:8" ht="12.75">
      <c r="B12" s="26" t="s">
        <v>259</v>
      </c>
      <c r="C12" s="26"/>
      <c r="D12" s="26"/>
      <c r="E12" s="27" t="s">
        <v>164</v>
      </c>
      <c r="F12" s="30">
        <v>24</v>
      </c>
      <c r="G12" s="30">
        <v>0.35</v>
      </c>
      <c r="H12" s="30">
        <f t="shared" si="0"/>
        <v>8.399999999999999</v>
      </c>
    </row>
    <row r="13" spans="2:8" ht="12.75">
      <c r="B13" s="26" t="s">
        <v>130</v>
      </c>
      <c r="C13" s="26"/>
      <c r="D13" s="26"/>
      <c r="E13" s="27" t="s">
        <v>88</v>
      </c>
      <c r="F13" s="30">
        <v>3</v>
      </c>
      <c r="G13" s="30">
        <v>2</v>
      </c>
      <c r="H13" s="30">
        <f t="shared" si="0"/>
        <v>6</v>
      </c>
    </row>
    <row r="14" spans="2:8" ht="12.75">
      <c r="B14" s="26" t="s">
        <v>142</v>
      </c>
      <c r="C14" s="26"/>
      <c r="D14" s="26"/>
      <c r="E14" s="27" t="s">
        <v>88</v>
      </c>
      <c r="F14" s="30">
        <v>3</v>
      </c>
      <c r="G14" s="30">
        <v>29.25</v>
      </c>
      <c r="H14" s="30">
        <f t="shared" si="0"/>
        <v>87.75</v>
      </c>
    </row>
    <row r="15" spans="2:8" ht="12.75">
      <c r="B15" s="26" t="s">
        <v>211</v>
      </c>
      <c r="C15" s="26"/>
      <c r="D15" s="26"/>
      <c r="E15" s="27" t="s">
        <v>88</v>
      </c>
      <c r="F15" s="30">
        <v>2</v>
      </c>
      <c r="G15" s="30">
        <f>15</f>
        <v>15</v>
      </c>
      <c r="H15" s="30">
        <f t="shared" si="0"/>
        <v>30</v>
      </c>
    </row>
    <row r="16" spans="2:8" ht="12.75">
      <c r="B16" s="26" t="s">
        <v>278</v>
      </c>
      <c r="C16" s="26"/>
      <c r="D16" s="26"/>
      <c r="E16" s="27" t="s">
        <v>240</v>
      </c>
      <c r="F16" s="30">
        <v>27</v>
      </c>
      <c r="G16" s="30">
        <v>19</v>
      </c>
      <c r="H16" s="30">
        <f t="shared" si="0"/>
        <v>513</v>
      </c>
    </row>
    <row r="17" spans="2:8" ht="12.75">
      <c r="B17" s="26" t="s">
        <v>162</v>
      </c>
      <c r="C17" s="26"/>
      <c r="D17" s="26"/>
      <c r="E17" s="27" t="s">
        <v>146</v>
      </c>
      <c r="F17" s="30">
        <v>20</v>
      </c>
      <c r="G17" s="30">
        <v>8</v>
      </c>
      <c r="H17" s="30">
        <f t="shared" si="0"/>
        <v>160</v>
      </c>
    </row>
    <row r="18" spans="2:8" ht="12.75">
      <c r="B18" s="26" t="s">
        <v>52</v>
      </c>
      <c r="C18" s="26"/>
      <c r="D18" s="26"/>
      <c r="E18" s="27" t="s">
        <v>88</v>
      </c>
      <c r="F18" s="30">
        <v>1</v>
      </c>
      <c r="G18" s="30">
        <f>Mach!I16</f>
        <v>29.975172305764413</v>
      </c>
      <c r="H18" s="30">
        <f t="shared" si="0"/>
        <v>29.975172305764413</v>
      </c>
    </row>
    <row r="19" spans="2:8" ht="12.75">
      <c r="B19" s="26" t="s">
        <v>58</v>
      </c>
      <c r="C19" s="26"/>
      <c r="D19" s="26"/>
      <c r="E19" s="27" t="s">
        <v>88</v>
      </c>
      <c r="F19" s="30">
        <v>1</v>
      </c>
      <c r="G19" s="30">
        <v>37</v>
      </c>
      <c r="H19" s="30">
        <f t="shared" si="0"/>
        <v>37</v>
      </c>
    </row>
    <row r="20" spans="2:8" ht="12.75">
      <c r="B20" s="26" t="s">
        <v>158</v>
      </c>
      <c r="C20" s="26"/>
      <c r="D20" s="26"/>
      <c r="E20" s="27" t="s">
        <v>88</v>
      </c>
      <c r="F20" s="30">
        <v>1</v>
      </c>
      <c r="G20" s="30">
        <f>Bud!H37</f>
        <v>100</v>
      </c>
      <c r="H20" s="30">
        <f t="shared" si="0"/>
        <v>100</v>
      </c>
    </row>
    <row r="21" spans="2:8" ht="12.75">
      <c r="B21" s="26" t="s">
        <v>280</v>
      </c>
      <c r="C21" s="26"/>
      <c r="D21" s="26"/>
      <c r="E21" s="27" t="s">
        <v>88</v>
      </c>
      <c r="F21" s="33">
        <v>1</v>
      </c>
      <c r="G21" s="33">
        <v>0</v>
      </c>
      <c r="H21" s="30">
        <f t="shared" si="0"/>
        <v>0</v>
      </c>
    </row>
    <row r="22" spans="2:8" ht="12.75">
      <c r="B22" s="26" t="s">
        <v>154</v>
      </c>
      <c r="C22" s="26"/>
      <c r="D22" s="26"/>
      <c r="E22" s="27"/>
      <c r="F22" s="30">
        <f>SUM(H7:H19)</f>
        <v>942.0851723057644</v>
      </c>
      <c r="G22" s="33">
        <v>0.065</v>
      </c>
      <c r="H22" s="30">
        <f t="shared" si="0"/>
        <v>61.235536199874694</v>
      </c>
    </row>
    <row r="23" spans="2:8" ht="13.5" thickBot="1">
      <c r="B23" s="21" t="s">
        <v>233</v>
      </c>
      <c r="C23" s="26"/>
      <c r="D23" s="26"/>
      <c r="E23" s="27"/>
      <c r="F23" s="33"/>
      <c r="G23" s="33"/>
      <c r="H23" s="39">
        <f>SUM(H10:H22)</f>
        <v>1103.3207085056392</v>
      </c>
    </row>
    <row r="24" spans="2:8" ht="13.5" thickTop="1">
      <c r="B24" s="26"/>
      <c r="C24" s="26"/>
      <c r="D24" s="26"/>
      <c r="E24" s="27"/>
      <c r="F24" s="27"/>
      <c r="G24" s="27"/>
      <c r="H24" s="43"/>
    </row>
    <row r="25" spans="2:8" ht="12.75">
      <c r="B25" s="21" t="s">
        <v>128</v>
      </c>
      <c r="C25" s="21"/>
      <c r="D25" s="26"/>
      <c r="E25" s="12" t="s">
        <v>244</v>
      </c>
      <c r="F25" s="12" t="s">
        <v>198</v>
      </c>
      <c r="G25" s="6" t="s">
        <v>194</v>
      </c>
      <c r="H25" s="5" t="s">
        <v>92</v>
      </c>
    </row>
    <row r="26" spans="2:8" ht="12.75">
      <c r="B26" s="26"/>
      <c r="C26" s="26"/>
      <c r="D26" s="26"/>
      <c r="E26" s="27"/>
      <c r="F26" s="27"/>
      <c r="G26" s="27"/>
      <c r="H26" s="27"/>
    </row>
    <row r="27" spans="2:8" ht="12.75">
      <c r="B27" s="26" t="s">
        <v>238</v>
      </c>
      <c r="C27" s="26"/>
      <c r="D27" s="26"/>
      <c r="E27" s="27" t="s">
        <v>88</v>
      </c>
      <c r="F27" s="30">
        <f>FxdCost!I34</f>
        <v>279.197875</v>
      </c>
      <c r="G27" s="30">
        <v>1</v>
      </c>
      <c r="H27" s="30">
        <f>F27*G27</f>
        <v>279.197875</v>
      </c>
    </row>
    <row r="28" spans="2:8" ht="12.75">
      <c r="B28" s="26" t="s">
        <v>171</v>
      </c>
      <c r="C28" s="26"/>
      <c r="D28" s="26"/>
      <c r="E28" s="27" t="s">
        <v>88</v>
      </c>
      <c r="F28" s="30">
        <f>H23</f>
        <v>1103.3207085056392</v>
      </c>
      <c r="G28" s="30">
        <v>0.15</v>
      </c>
      <c r="H28" s="30">
        <f>F28*G28</f>
        <v>165.49810627584588</v>
      </c>
    </row>
    <row r="29" spans="2:8" ht="12.75">
      <c r="B29" s="26" t="s">
        <v>158</v>
      </c>
      <c r="C29" s="26"/>
      <c r="D29" s="26"/>
      <c r="E29" s="27" t="s">
        <v>88</v>
      </c>
      <c r="F29" s="30">
        <v>1</v>
      </c>
      <c r="G29" s="30">
        <f>Drip!I32</f>
        <v>32.55446833333333</v>
      </c>
      <c r="H29" s="30">
        <f>F29*G29</f>
        <v>32.55446833333333</v>
      </c>
    </row>
    <row r="30" spans="2:8" ht="13.5" thickBot="1">
      <c r="B30" s="21" t="s">
        <v>228</v>
      </c>
      <c r="C30" s="26"/>
      <c r="D30" s="26"/>
      <c r="E30" s="27" t="s">
        <v>65</v>
      </c>
      <c r="F30" s="27"/>
      <c r="G30" s="33"/>
      <c r="H30" s="39">
        <f>SUM(H27:H29)</f>
        <v>477.2504496091792</v>
      </c>
    </row>
    <row r="31" spans="2:8" ht="13.5" thickTop="1">
      <c r="B31" s="26"/>
      <c r="C31" s="26"/>
      <c r="D31" s="26"/>
      <c r="E31" s="27"/>
      <c r="F31" s="27"/>
      <c r="G31" s="27"/>
      <c r="H31" s="43"/>
    </row>
    <row r="32" spans="2:8" ht="13.5" thickBot="1">
      <c r="B32" s="9" t="s">
        <v>227</v>
      </c>
      <c r="E32" s="27" t="s">
        <v>65</v>
      </c>
      <c r="F32" s="3"/>
      <c r="G32" s="3"/>
      <c r="H32" s="41">
        <f>H23+H30</f>
        <v>1580.5711581148184</v>
      </c>
    </row>
    <row r="33" ht="13.5" thickTop="1">
      <c r="H33" s="36"/>
    </row>
    <row r="36" ht="12.75">
      <c r="B36" s="1" t="s">
        <v>276</v>
      </c>
    </row>
    <row r="37" ht="12.75">
      <c r="B37" s="26" t="s">
        <v>293</v>
      </c>
    </row>
    <row r="38" spans="1:2" ht="12.75">
      <c r="A38" s="1" t="s">
        <v>78</v>
      </c>
      <c r="B38" s="1" t="s">
        <v>279</v>
      </c>
    </row>
    <row r="41" ht="12.75"/>
    <row r="42" ht="12.75"/>
    <row r="43" ht="12.75"/>
    <row r="44" ht="12.75"/>
    <row r="52" spans="2:6" ht="12.75">
      <c r="B52" s="42"/>
      <c r="C52" s="42"/>
      <c r="D52" s="42"/>
      <c r="E52" s="42"/>
      <c r="F52" s="42"/>
    </row>
    <row r="53" spans="2:6" ht="12.75">
      <c r="B53" s="26"/>
      <c r="C53" s="10"/>
      <c r="D53" s="10"/>
      <c r="E53" s="10"/>
      <c r="F53" s="10"/>
    </row>
    <row r="54" spans="2:6" ht="12.75">
      <c r="B54" s="26"/>
      <c r="C54" s="10"/>
      <c r="D54" s="10"/>
      <c r="E54" s="10"/>
      <c r="F54" s="10"/>
    </row>
    <row r="55" spans="2:6" ht="12.75">
      <c r="B55" s="26"/>
      <c r="C55" s="10"/>
      <c r="D55" s="10"/>
      <c r="E55" s="10"/>
      <c r="F55" s="10"/>
    </row>
    <row r="56" spans="2:6" ht="12.75">
      <c r="B56" s="26"/>
      <c r="C56" s="10"/>
      <c r="D56" s="10"/>
      <c r="E56" s="10"/>
      <c r="F56" s="10"/>
    </row>
    <row r="57" spans="2:6" ht="12.75">
      <c r="B57" s="26"/>
      <c r="C57" s="10"/>
      <c r="D57" s="10"/>
      <c r="E57" s="10"/>
      <c r="F57" s="10"/>
    </row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47" t="s">
        <v>296</v>
      </c>
    </row>
    <row r="4" spans="2:8" ht="15.75">
      <c r="B4" s="158" t="s">
        <v>119</v>
      </c>
      <c r="C4" s="159"/>
      <c r="D4" s="159"/>
      <c r="E4" s="159"/>
      <c r="F4" s="159"/>
      <c r="G4" s="159"/>
      <c r="H4" s="159"/>
    </row>
    <row r="5" spans="2:8" ht="15.75">
      <c r="B5" s="155" t="s">
        <v>312</v>
      </c>
      <c r="C5" s="159"/>
      <c r="D5" s="159"/>
      <c r="E5" s="159"/>
      <c r="F5" s="159"/>
      <c r="G5" s="159"/>
      <c r="H5" s="159"/>
    </row>
    <row r="6" spans="2:4" ht="12.75">
      <c r="B6" s="12"/>
      <c r="C6" s="3"/>
      <c r="D6" s="3"/>
    </row>
    <row r="8" spans="2:8" ht="12.75">
      <c r="B8" s="9" t="s">
        <v>179</v>
      </c>
      <c r="E8" s="12" t="s">
        <v>244</v>
      </c>
      <c r="F8" s="12" t="s">
        <v>198</v>
      </c>
      <c r="G8" s="6" t="s">
        <v>194</v>
      </c>
      <c r="H8" s="5" t="s">
        <v>92</v>
      </c>
    </row>
    <row r="9" spans="7:8" ht="12.75">
      <c r="G9" s="42" t="s">
        <v>68</v>
      </c>
      <c r="H9" s="42" t="s">
        <v>68</v>
      </c>
    </row>
    <row r="10" spans="2:8" ht="12.75">
      <c r="B10" s="1" t="s">
        <v>168</v>
      </c>
      <c r="E10" s="1" t="s">
        <v>221</v>
      </c>
      <c r="F10" s="10">
        <v>0.5</v>
      </c>
      <c r="G10" s="10">
        <v>30</v>
      </c>
      <c r="H10" s="10">
        <f aca="true" t="shared" si="0" ref="H10:H23">F10*G10</f>
        <v>15</v>
      </c>
    </row>
    <row r="11" spans="2:8" ht="12.75">
      <c r="B11" s="1" t="s">
        <v>125</v>
      </c>
      <c r="E11" s="1" t="s">
        <v>241</v>
      </c>
      <c r="F11" s="10">
        <v>81</v>
      </c>
      <c r="G11" s="10">
        <f>Yr1!G11</f>
        <v>3.33</v>
      </c>
      <c r="H11" s="10">
        <f t="shared" si="0"/>
        <v>269.73</v>
      </c>
    </row>
    <row r="12" spans="2:8" ht="12.75">
      <c r="B12" s="1" t="s">
        <v>260</v>
      </c>
      <c r="E12" s="1" t="s">
        <v>164</v>
      </c>
      <c r="F12" s="10">
        <v>35</v>
      </c>
      <c r="G12" s="10">
        <f>Yr1!G12</f>
        <v>0.35</v>
      </c>
      <c r="H12" s="10">
        <f t="shared" si="0"/>
        <v>12.25</v>
      </c>
    </row>
    <row r="13" spans="2:8" ht="12.75">
      <c r="B13" s="1" t="s">
        <v>130</v>
      </c>
      <c r="E13" s="1" t="s">
        <v>88</v>
      </c>
      <c r="F13" s="10">
        <v>2</v>
      </c>
      <c r="G13" s="10">
        <v>2</v>
      </c>
      <c r="H13" s="10">
        <f t="shared" si="0"/>
        <v>4</v>
      </c>
    </row>
    <row r="14" spans="2:8" ht="12.75">
      <c r="B14" s="1" t="s">
        <v>142</v>
      </c>
      <c r="E14" s="1" t="s">
        <v>98</v>
      </c>
      <c r="F14" s="10">
        <v>3</v>
      </c>
      <c r="G14" s="10">
        <f>Yr1!G14</f>
        <v>29.25</v>
      </c>
      <c r="H14" s="10">
        <f t="shared" si="0"/>
        <v>87.75</v>
      </c>
    </row>
    <row r="15" spans="2:8" ht="12.75">
      <c r="B15" s="1" t="s">
        <v>241</v>
      </c>
      <c r="E15" s="1" t="s">
        <v>88</v>
      </c>
      <c r="F15" s="10">
        <v>2</v>
      </c>
      <c r="G15" s="10">
        <v>15</v>
      </c>
      <c r="H15" s="10">
        <f t="shared" si="0"/>
        <v>30</v>
      </c>
    </row>
    <row r="16" spans="2:8" ht="12.75">
      <c r="B16" s="1" t="s">
        <v>134</v>
      </c>
      <c r="E16" s="1" t="s">
        <v>98</v>
      </c>
      <c r="F16" s="10">
        <v>3</v>
      </c>
      <c r="G16" s="10">
        <v>12</v>
      </c>
      <c r="H16" s="10">
        <f t="shared" si="0"/>
        <v>36</v>
      </c>
    </row>
    <row r="17" spans="2:8" ht="12.75">
      <c r="B17" s="1" t="s">
        <v>148</v>
      </c>
      <c r="E17" s="1" t="s">
        <v>98</v>
      </c>
      <c r="F17" s="10">
        <v>3</v>
      </c>
      <c r="G17" s="10">
        <v>25</v>
      </c>
      <c r="H17" s="10">
        <f t="shared" si="0"/>
        <v>75</v>
      </c>
    </row>
    <row r="18" spans="2:8" ht="12.75">
      <c r="B18" s="1" t="s">
        <v>162</v>
      </c>
      <c r="E18" s="1" t="s">
        <v>146</v>
      </c>
      <c r="F18" s="10">
        <v>20</v>
      </c>
      <c r="G18" s="10">
        <v>10</v>
      </c>
      <c r="H18" s="10">
        <f t="shared" si="0"/>
        <v>200</v>
      </c>
    </row>
    <row r="19" spans="2:8" ht="12.75">
      <c r="B19" s="1" t="s">
        <v>132</v>
      </c>
      <c r="E19" s="1" t="s">
        <v>88</v>
      </c>
      <c r="F19" s="10">
        <v>37</v>
      </c>
      <c r="G19" s="10">
        <v>2.5</v>
      </c>
      <c r="H19" s="10">
        <f t="shared" si="0"/>
        <v>92.5</v>
      </c>
    </row>
    <row r="20" spans="2:8" ht="12.75">
      <c r="B20" s="1" t="s">
        <v>200</v>
      </c>
      <c r="E20" s="1" t="s">
        <v>88</v>
      </c>
      <c r="F20" s="10">
        <v>1</v>
      </c>
      <c r="G20" s="10">
        <v>37</v>
      </c>
      <c r="H20" s="10">
        <f t="shared" si="0"/>
        <v>37</v>
      </c>
    </row>
    <row r="21" spans="2:8" ht="12.75">
      <c r="B21" s="1" t="s">
        <v>158</v>
      </c>
      <c r="E21" s="1" t="s">
        <v>88</v>
      </c>
      <c r="F21" s="10">
        <v>1</v>
      </c>
      <c r="G21" s="10">
        <f>Bud!H37</f>
        <v>100</v>
      </c>
      <c r="H21" s="10">
        <f t="shared" si="0"/>
        <v>100</v>
      </c>
    </row>
    <row r="22" spans="2:8" ht="12.75">
      <c r="B22" s="1" t="s">
        <v>163</v>
      </c>
      <c r="E22" s="1" t="s">
        <v>88</v>
      </c>
      <c r="F22" s="10">
        <v>1</v>
      </c>
      <c r="G22" s="1">
        <v>200</v>
      </c>
      <c r="H22" s="10">
        <f t="shared" si="0"/>
        <v>200</v>
      </c>
    </row>
    <row r="23" spans="2:8" ht="12.75">
      <c r="B23" s="1" t="s">
        <v>154</v>
      </c>
      <c r="E23" s="26" t="s">
        <v>65</v>
      </c>
      <c r="F23" s="4">
        <f>SUM(H9:H20)</f>
        <v>859.23</v>
      </c>
      <c r="G23" s="1">
        <v>0.065</v>
      </c>
      <c r="H23" s="10">
        <f t="shared" si="0"/>
        <v>55.84995</v>
      </c>
    </row>
    <row r="24" spans="2:8" ht="13.5" thickBot="1">
      <c r="B24" s="9" t="s">
        <v>235</v>
      </c>
      <c r="E24" s="26" t="s">
        <v>65</v>
      </c>
      <c r="H24" s="44">
        <f>SUM(H10:H23)</f>
        <v>1215.07995</v>
      </c>
    </row>
    <row r="25" ht="13.5" thickTop="1">
      <c r="H25" s="36"/>
    </row>
    <row r="26" ht="12.75">
      <c r="B26" s="9" t="s">
        <v>128</v>
      </c>
    </row>
    <row r="28" spans="2:8" ht="12.75">
      <c r="B28" s="1" t="s">
        <v>238</v>
      </c>
      <c r="E28" s="26" t="s">
        <v>88</v>
      </c>
      <c r="F28" s="1">
        <v>1</v>
      </c>
      <c r="G28" s="10">
        <f>FxdCost!I34</f>
        <v>279.197875</v>
      </c>
      <c r="H28" s="10">
        <f>F28*G28</f>
        <v>279.197875</v>
      </c>
    </row>
    <row r="29" spans="2:8" ht="12.75">
      <c r="B29" s="1" t="s">
        <v>136</v>
      </c>
      <c r="E29" s="26" t="s">
        <v>88</v>
      </c>
      <c r="F29" s="10">
        <f>H24</f>
        <v>1215.07995</v>
      </c>
      <c r="G29" s="10">
        <v>0.15</v>
      </c>
      <c r="H29" s="10">
        <f>H24*G29</f>
        <v>182.2619925</v>
      </c>
    </row>
    <row r="30" spans="2:8" ht="12.75">
      <c r="B30" s="1" t="s">
        <v>158</v>
      </c>
      <c r="E30" s="1" t="s">
        <v>88</v>
      </c>
      <c r="F30" s="1">
        <v>1</v>
      </c>
      <c r="G30" s="10">
        <f>Drip!I32</f>
        <v>32.55446833333333</v>
      </c>
      <c r="H30" s="10">
        <f>F30*G30</f>
        <v>32.55446833333333</v>
      </c>
    </row>
    <row r="31" spans="2:8" ht="13.5" thickBot="1">
      <c r="B31" s="21" t="s">
        <v>295</v>
      </c>
      <c r="H31" s="44">
        <f>SUM(H28:H30)</f>
        <v>494.0143358333333</v>
      </c>
    </row>
    <row r="32" ht="13.5" thickTop="1">
      <c r="H32" s="36"/>
    </row>
    <row r="33" spans="2:8" ht="13.5" thickBot="1">
      <c r="B33" s="21" t="s">
        <v>294</v>
      </c>
      <c r="C33" s="21"/>
      <c r="D33" s="21"/>
      <c r="E33" s="21" t="s">
        <v>65</v>
      </c>
      <c r="F33" s="21"/>
      <c r="G33" s="21"/>
      <c r="H33" s="45">
        <f>H24+H31</f>
        <v>1709.0942858333333</v>
      </c>
    </row>
    <row r="34" ht="13.5" thickTop="1">
      <c r="H34" s="36"/>
    </row>
    <row r="37" ht="12.75">
      <c r="A37" s="1" t="s">
        <v>78</v>
      </c>
    </row>
    <row r="38" ht="12.75"/>
    <row r="39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8"/>
  <sheetViews>
    <sheetView zoomScalePageLayoutView="0" workbookViewId="0" topLeftCell="B1">
      <selection activeCell="J31" sqref="J31"/>
    </sheetView>
  </sheetViews>
  <sheetFormatPr defaultColWidth="10.57421875" defaultRowHeight="12.75"/>
  <cols>
    <col min="1" max="1" width="10.57421875" style="1" customWidth="1"/>
    <col min="2" max="2" width="30.28125" style="1" customWidth="1"/>
    <col min="3" max="3" width="2.57421875" style="1" customWidth="1"/>
    <col min="4" max="4" width="3.28125" style="1" customWidth="1"/>
    <col min="5" max="16384" width="10.57421875" style="1" customWidth="1"/>
  </cols>
  <sheetData>
    <row r="2" ht="12.75">
      <c r="B2" s="47" t="s">
        <v>296</v>
      </c>
    </row>
    <row r="4" spans="2:8" ht="15.75">
      <c r="B4" s="158" t="s">
        <v>120</v>
      </c>
      <c r="C4" s="159"/>
      <c r="D4" s="159"/>
      <c r="E4" s="159"/>
      <c r="F4" s="159"/>
      <c r="G4" s="159"/>
      <c r="H4" s="159"/>
    </row>
    <row r="5" spans="2:8" ht="15.75">
      <c r="B5" s="155" t="s">
        <v>313</v>
      </c>
      <c r="C5" s="159"/>
      <c r="D5" s="159"/>
      <c r="E5" s="159"/>
      <c r="F5" s="159"/>
      <c r="G5" s="159"/>
      <c r="H5" s="159"/>
    </row>
    <row r="7" spans="2:8" ht="12.75">
      <c r="B7" s="12" t="s">
        <v>161</v>
      </c>
      <c r="C7" s="12"/>
      <c r="D7" s="12"/>
      <c r="E7" s="12" t="s">
        <v>244</v>
      </c>
      <c r="F7" s="12" t="s">
        <v>198</v>
      </c>
      <c r="G7" s="6" t="s">
        <v>194</v>
      </c>
      <c r="H7" s="5" t="s">
        <v>92</v>
      </c>
    </row>
    <row r="9" ht="12.75">
      <c r="B9" s="21" t="s">
        <v>179</v>
      </c>
    </row>
    <row r="11" spans="2:8" ht="12.75">
      <c r="B11" s="1" t="s">
        <v>168</v>
      </c>
      <c r="E11" s="1" t="s">
        <v>221</v>
      </c>
      <c r="F11" s="10">
        <v>0.5</v>
      </c>
      <c r="G11" s="10">
        <v>30</v>
      </c>
      <c r="H11" s="10">
        <f aca="true" t="shared" si="0" ref="H11:H26">F11*G11</f>
        <v>15</v>
      </c>
    </row>
    <row r="12" spans="2:8" ht="12.75">
      <c r="B12" s="1" t="s">
        <v>91</v>
      </c>
      <c r="E12" s="1" t="s">
        <v>164</v>
      </c>
      <c r="F12" s="10">
        <v>100</v>
      </c>
      <c r="G12" s="10">
        <v>0.48</v>
      </c>
      <c r="H12" s="10">
        <f t="shared" si="0"/>
        <v>48</v>
      </c>
    </row>
    <row r="13" spans="2:8" ht="12.75">
      <c r="B13" s="1" t="s">
        <v>187</v>
      </c>
      <c r="E13" s="1" t="s">
        <v>88</v>
      </c>
      <c r="F13" s="10">
        <v>40</v>
      </c>
      <c r="G13" s="10">
        <v>0.51</v>
      </c>
      <c r="H13" s="10">
        <f t="shared" si="0"/>
        <v>20.4</v>
      </c>
    </row>
    <row r="14" spans="2:8" ht="12.75">
      <c r="B14" s="1" t="s">
        <v>190</v>
      </c>
      <c r="E14" s="1" t="s">
        <v>88</v>
      </c>
      <c r="F14" s="10">
        <v>40</v>
      </c>
      <c r="G14" s="10">
        <v>0.39</v>
      </c>
      <c r="H14" s="10">
        <f t="shared" si="0"/>
        <v>15.600000000000001</v>
      </c>
    </row>
    <row r="15" spans="2:8" ht="12.75">
      <c r="B15" s="1" t="s">
        <v>260</v>
      </c>
      <c r="E15" s="1" t="s">
        <v>164</v>
      </c>
      <c r="F15" s="10">
        <v>50</v>
      </c>
      <c r="G15" s="10">
        <f>Yr1!G12</f>
        <v>0.35</v>
      </c>
      <c r="H15" s="10">
        <f t="shared" si="0"/>
        <v>17.5</v>
      </c>
    </row>
    <row r="16" spans="2:8" ht="12.75">
      <c r="B16" s="1" t="s">
        <v>130</v>
      </c>
      <c r="E16" s="1" t="s">
        <v>98</v>
      </c>
      <c r="F16" s="10">
        <v>3</v>
      </c>
      <c r="G16" s="10">
        <v>2</v>
      </c>
      <c r="H16" s="10">
        <f t="shared" si="0"/>
        <v>6</v>
      </c>
    </row>
    <row r="17" spans="2:8" ht="12.75">
      <c r="B17" s="1" t="s">
        <v>134</v>
      </c>
      <c r="E17" s="1" t="s">
        <v>98</v>
      </c>
      <c r="F17" s="10">
        <v>4</v>
      </c>
      <c r="G17" s="10">
        <v>12</v>
      </c>
      <c r="H17" s="10">
        <f t="shared" si="0"/>
        <v>48</v>
      </c>
    </row>
    <row r="18" spans="2:8" ht="12.75">
      <c r="B18" s="1" t="s">
        <v>142</v>
      </c>
      <c r="E18" s="1" t="s">
        <v>98</v>
      </c>
      <c r="F18" s="10">
        <v>3</v>
      </c>
      <c r="G18" s="10">
        <v>29.25</v>
      </c>
      <c r="H18" s="10">
        <f t="shared" si="0"/>
        <v>87.75</v>
      </c>
    </row>
    <row r="19" spans="2:8" ht="12.75">
      <c r="B19" s="1" t="s">
        <v>149</v>
      </c>
      <c r="E19" s="1" t="s">
        <v>98</v>
      </c>
      <c r="F19" s="10">
        <v>5</v>
      </c>
      <c r="G19" s="10">
        <v>25</v>
      </c>
      <c r="H19" s="10">
        <f t="shared" si="0"/>
        <v>125</v>
      </c>
    </row>
    <row r="20" spans="2:8" ht="12.75">
      <c r="B20" s="1" t="s">
        <v>241</v>
      </c>
      <c r="E20" s="1" t="s">
        <v>241</v>
      </c>
      <c r="F20" s="10">
        <v>2</v>
      </c>
      <c r="G20" s="10">
        <v>15</v>
      </c>
      <c r="H20" s="10">
        <f t="shared" si="0"/>
        <v>30</v>
      </c>
    </row>
    <row r="21" spans="2:8" ht="12.75">
      <c r="B21" s="1" t="s">
        <v>162</v>
      </c>
      <c r="E21" s="1" t="s">
        <v>146</v>
      </c>
      <c r="F21" s="10">
        <v>23</v>
      </c>
      <c r="G21" s="10">
        <v>10</v>
      </c>
      <c r="H21" s="10">
        <f t="shared" si="0"/>
        <v>230</v>
      </c>
    </row>
    <row r="22" spans="2:8" ht="12.75">
      <c r="B22" s="1" t="s">
        <v>132</v>
      </c>
      <c r="E22" s="1" t="s">
        <v>88</v>
      </c>
      <c r="F22" s="10">
        <v>37</v>
      </c>
      <c r="G22" s="10">
        <v>2.5</v>
      </c>
      <c r="H22" s="10">
        <f t="shared" si="0"/>
        <v>92.5</v>
      </c>
    </row>
    <row r="23" spans="2:8" ht="12.75">
      <c r="B23" s="1" t="s">
        <v>203</v>
      </c>
      <c r="E23" s="1" t="s">
        <v>88</v>
      </c>
      <c r="F23" s="10">
        <v>1</v>
      </c>
      <c r="G23" s="10">
        <v>37</v>
      </c>
      <c r="H23" s="10">
        <f t="shared" si="0"/>
        <v>37</v>
      </c>
    </row>
    <row r="24" spans="2:8" ht="12.75">
      <c r="B24" s="1" t="s">
        <v>157</v>
      </c>
      <c r="E24" s="1" t="s">
        <v>88</v>
      </c>
      <c r="F24" s="10">
        <v>1</v>
      </c>
      <c r="G24" s="10">
        <f>Bud!H37</f>
        <v>100</v>
      </c>
      <c r="H24" s="10">
        <f t="shared" si="0"/>
        <v>100</v>
      </c>
    </row>
    <row r="25" spans="2:8" ht="12.75">
      <c r="B25" s="1" t="s">
        <v>163</v>
      </c>
      <c r="E25" s="1" t="s">
        <v>88</v>
      </c>
      <c r="F25" s="10">
        <v>1</v>
      </c>
      <c r="G25" s="10">
        <v>200</v>
      </c>
      <c r="H25" s="10">
        <f t="shared" si="0"/>
        <v>200</v>
      </c>
    </row>
    <row r="26" spans="2:8" ht="12.75">
      <c r="B26" s="1" t="s">
        <v>154</v>
      </c>
      <c r="E26" s="26" t="s">
        <v>88</v>
      </c>
      <c r="F26" s="18">
        <f>SUM(H10:H23)</f>
        <v>772.75</v>
      </c>
      <c r="G26" s="10">
        <v>0.07</v>
      </c>
      <c r="H26" s="10">
        <f t="shared" si="0"/>
        <v>54.09250000000001</v>
      </c>
    </row>
    <row r="27" spans="2:8" ht="13.5" thickBot="1">
      <c r="B27" s="9" t="s">
        <v>234</v>
      </c>
      <c r="E27" s="26" t="s">
        <v>65</v>
      </c>
      <c r="H27" s="44">
        <f>SUM(H11:H26)</f>
        <v>1126.8425</v>
      </c>
    </row>
    <row r="28" ht="13.5" thickTop="1">
      <c r="H28" s="36"/>
    </row>
    <row r="29" spans="2:8" ht="12.75">
      <c r="B29" s="12" t="s">
        <v>128</v>
      </c>
      <c r="E29" s="12" t="s">
        <v>244</v>
      </c>
      <c r="F29" s="12" t="s">
        <v>198</v>
      </c>
      <c r="G29" s="6" t="s">
        <v>194</v>
      </c>
      <c r="H29" s="5" t="s">
        <v>92</v>
      </c>
    </row>
    <row r="31" spans="2:8" ht="12.75">
      <c r="B31" s="1" t="s">
        <v>239</v>
      </c>
      <c r="E31" s="26" t="s">
        <v>88</v>
      </c>
      <c r="F31" s="10">
        <v>1</v>
      </c>
      <c r="G31" s="10">
        <f>FxdCost!I34</f>
        <v>279.197875</v>
      </c>
      <c r="H31" s="10">
        <f>F31*G31</f>
        <v>279.197875</v>
      </c>
    </row>
    <row r="32" spans="2:8" ht="12.75">
      <c r="B32" s="1" t="s">
        <v>136</v>
      </c>
      <c r="E32" s="26" t="s">
        <v>88</v>
      </c>
      <c r="F32" s="10">
        <f>H27</f>
        <v>1126.8425</v>
      </c>
      <c r="G32" s="10">
        <v>0.15</v>
      </c>
      <c r="H32" s="10">
        <f>H27*G32</f>
        <v>169.026375</v>
      </c>
    </row>
    <row r="33" spans="2:8" ht="12.75">
      <c r="B33" s="1" t="s">
        <v>158</v>
      </c>
      <c r="E33" s="26" t="s">
        <v>88</v>
      </c>
      <c r="F33" s="10">
        <v>1</v>
      </c>
      <c r="G33" s="10">
        <f>Drip!I32</f>
        <v>32.55446833333333</v>
      </c>
      <c r="H33" s="10">
        <f>F33*G33</f>
        <v>32.55446833333333</v>
      </c>
    </row>
    <row r="34" spans="2:8" ht="13.5" thickBot="1">
      <c r="B34" s="21" t="s">
        <v>295</v>
      </c>
      <c r="H34" s="44">
        <f>SUM(H31:H33)</f>
        <v>480.7787183333333</v>
      </c>
    </row>
    <row r="35" ht="13.5" thickTop="1">
      <c r="H35" s="46"/>
    </row>
    <row r="36" spans="2:8" ht="13.5" thickBot="1">
      <c r="B36" s="21" t="s">
        <v>294</v>
      </c>
      <c r="H36" s="44">
        <f>H27+H34</f>
        <v>1607.6212183333332</v>
      </c>
    </row>
    <row r="37" ht="13.5" thickTop="1">
      <c r="H37" s="46"/>
    </row>
    <row r="38" ht="12.75"/>
    <row r="39" ht="12.75"/>
    <row r="40" ht="12.75"/>
    <row r="41" ht="12.75"/>
    <row r="42" spans="2:8" ht="15.75">
      <c r="B42" s="158"/>
      <c r="C42" s="159"/>
      <c r="D42" s="159"/>
      <c r="E42" s="159"/>
      <c r="F42" s="159"/>
      <c r="G42" s="159"/>
      <c r="H42" s="159"/>
    </row>
    <row r="46" spans="6:8" ht="12.75">
      <c r="F46" s="10"/>
      <c r="G46" s="7"/>
      <c r="H46" s="7"/>
    </row>
    <row r="47" spans="6:8" ht="12.75">
      <c r="F47" s="10"/>
      <c r="G47" s="7"/>
      <c r="H47" s="7"/>
    </row>
    <row r="48" spans="6:8" ht="12.75">
      <c r="F48" s="10"/>
      <c r="G48" s="7"/>
      <c r="H48" s="7"/>
    </row>
    <row r="49" spans="6:8" ht="12.75">
      <c r="F49" s="10"/>
      <c r="G49" s="7"/>
      <c r="H49" s="7"/>
    </row>
    <row r="50" spans="6:8" ht="12.75">
      <c r="F50" s="10"/>
      <c r="G50" s="7"/>
      <c r="H50" s="7"/>
    </row>
    <row r="51" spans="6:8" ht="12.75">
      <c r="F51" s="10"/>
      <c r="G51" s="7"/>
      <c r="H51" s="7"/>
    </row>
    <row r="52" spans="6:8" ht="12.75">
      <c r="F52" s="10"/>
      <c r="G52" s="7"/>
      <c r="H52" s="7"/>
    </row>
    <row r="53" spans="2:8" ht="12.75">
      <c r="B53" s="9"/>
      <c r="H53" s="14"/>
    </row>
    <row r="57" spans="2:8" ht="12.75">
      <c r="B57" s="9"/>
      <c r="H57" s="14"/>
    </row>
    <row r="58" ht="12.75">
      <c r="A58" s="1" t="s">
        <v>78</v>
      </c>
    </row>
  </sheetData>
  <sheetProtection/>
  <mergeCells count="3">
    <mergeCell ref="B4:H4"/>
    <mergeCell ref="B5:H5"/>
    <mergeCell ref="B42:H42"/>
  </mergeCells>
  <printOptions/>
  <pageMargins left="0.75" right="0.75" top="1" bottom="1" header="0.5" footer="0.5"/>
  <pageSetup horizontalDpi="600" verticalDpi="600" orientation="portrait" r:id="rId2"/>
  <rowBreaks count="1" manualBreakCount="1">
    <brk id="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3" width="5.8515625" style="1" customWidth="1"/>
    <col min="4" max="16384" width="9.140625" style="1" customWidth="1"/>
  </cols>
  <sheetData>
    <row r="2" ht="12.75">
      <c r="B2" s="47" t="s">
        <v>296</v>
      </c>
    </row>
    <row r="4" spans="3:8" ht="15.75">
      <c r="C4" s="160" t="s">
        <v>304</v>
      </c>
      <c r="D4" s="156"/>
      <c r="E4" s="156"/>
      <c r="F4" s="156"/>
      <c r="G4" s="156"/>
      <c r="H4" s="156"/>
    </row>
    <row r="7" spans="2:9" ht="12.75">
      <c r="B7" s="6" t="s">
        <v>160</v>
      </c>
      <c r="C7" s="3"/>
      <c r="D7" s="6" t="s">
        <v>243</v>
      </c>
      <c r="E7" s="6" t="s">
        <v>199</v>
      </c>
      <c r="F7" s="3"/>
      <c r="G7" s="6" t="s">
        <v>193</v>
      </c>
      <c r="H7" s="3"/>
      <c r="I7" s="6" t="s">
        <v>93</v>
      </c>
    </row>
    <row r="8" spans="7:9" ht="12.75">
      <c r="G8" s="11"/>
      <c r="I8" s="11"/>
    </row>
    <row r="9" spans="2:9" ht="12.75">
      <c r="B9" s="1" t="s">
        <v>141</v>
      </c>
      <c r="D9" s="1" t="s">
        <v>99</v>
      </c>
      <c r="E9" s="10">
        <v>1</v>
      </c>
      <c r="G9" s="15">
        <v>0</v>
      </c>
      <c r="I9" s="15">
        <f>E9*G9</f>
        <v>0</v>
      </c>
    </row>
    <row r="10" spans="2:9" ht="12.75">
      <c r="B10" s="26" t="s">
        <v>281</v>
      </c>
      <c r="D10" s="1" t="s">
        <v>99</v>
      </c>
      <c r="E10" s="10">
        <v>1</v>
      </c>
      <c r="G10" s="15">
        <v>0</v>
      </c>
      <c r="I10" s="15">
        <f>E10*G10</f>
        <v>0</v>
      </c>
    </row>
    <row r="11" spans="2:9" ht="12.75">
      <c r="B11" s="26" t="s">
        <v>282</v>
      </c>
      <c r="D11" s="1" t="s">
        <v>99</v>
      </c>
      <c r="E11" s="10">
        <v>1</v>
      </c>
      <c r="G11" s="15">
        <v>0</v>
      </c>
      <c r="I11" s="15">
        <f>E11*G11</f>
        <v>0</v>
      </c>
    </row>
    <row r="12" spans="2:9" ht="13.5" thickBot="1">
      <c r="B12" s="21" t="s">
        <v>284</v>
      </c>
      <c r="C12" s="21"/>
      <c r="D12" s="21"/>
      <c r="E12" s="23"/>
      <c r="F12" s="21"/>
      <c r="G12" s="35"/>
      <c r="H12" s="21"/>
      <c r="I12" s="49">
        <f>SUM(I9:I11)</f>
        <v>0</v>
      </c>
    </row>
    <row r="13" spans="5:9" ht="13.5" thickTop="1">
      <c r="E13" s="10"/>
      <c r="G13" s="15"/>
      <c r="I13" s="48"/>
    </row>
    <row r="14" spans="2:9" ht="12.75">
      <c r="B14" s="26" t="s">
        <v>283</v>
      </c>
      <c r="D14" s="1" t="s">
        <v>99</v>
      </c>
      <c r="E14" s="10">
        <v>1</v>
      </c>
      <c r="G14" s="15">
        <v>0</v>
      </c>
      <c r="I14" s="15">
        <v>18</v>
      </c>
    </row>
    <row r="15" spans="2:9" ht="12.75">
      <c r="B15" s="1" t="s">
        <v>148</v>
      </c>
      <c r="D15" s="1" t="s">
        <v>99</v>
      </c>
      <c r="E15" s="10">
        <v>3</v>
      </c>
      <c r="G15" s="15">
        <v>0</v>
      </c>
      <c r="I15" s="15">
        <f>E15*G15</f>
        <v>0</v>
      </c>
    </row>
    <row r="16" spans="2:9" ht="12.75">
      <c r="B16" s="1" t="s">
        <v>148</v>
      </c>
      <c r="D16" s="1" t="s">
        <v>99</v>
      </c>
      <c r="E16" s="10">
        <v>1</v>
      </c>
      <c r="G16" s="15">
        <v>0</v>
      </c>
      <c r="I16" s="15">
        <f>E16*G16</f>
        <v>0</v>
      </c>
    </row>
    <row r="17" spans="2:9" ht="12.75">
      <c r="B17" s="1" t="s">
        <v>148</v>
      </c>
      <c r="D17" s="1" t="s">
        <v>99</v>
      </c>
      <c r="E17" s="10">
        <v>3</v>
      </c>
      <c r="G17" s="15">
        <v>0</v>
      </c>
      <c r="I17" s="15">
        <f>E17*G17</f>
        <v>0</v>
      </c>
    </row>
    <row r="18" spans="2:9" ht="12.75">
      <c r="B18" s="1" t="s">
        <v>148</v>
      </c>
      <c r="D18" s="1" t="s">
        <v>99</v>
      </c>
      <c r="E18" s="10">
        <v>0</v>
      </c>
      <c r="G18" s="15">
        <v>0</v>
      </c>
      <c r="I18" s="15">
        <f>E18*G18</f>
        <v>0</v>
      </c>
    </row>
    <row r="19" spans="2:9" ht="13.5" thickBot="1">
      <c r="B19" s="21" t="s">
        <v>222</v>
      </c>
      <c r="C19" s="21"/>
      <c r="D19" s="21"/>
      <c r="E19" s="23"/>
      <c r="F19" s="21"/>
      <c r="G19" s="35"/>
      <c r="H19" s="21"/>
      <c r="I19" s="49">
        <v>0</v>
      </c>
    </row>
    <row r="20" spans="5:9" ht="13.5" thickTop="1">
      <c r="E20" s="10"/>
      <c r="G20" s="15"/>
      <c r="I20" s="48"/>
    </row>
    <row r="21" spans="2:9" ht="12.75">
      <c r="B21" s="1" t="s">
        <v>133</v>
      </c>
      <c r="D21" s="1" t="s">
        <v>99</v>
      </c>
      <c r="E21" s="10">
        <v>5</v>
      </c>
      <c r="G21" s="15">
        <v>0</v>
      </c>
      <c r="I21" s="15">
        <f aca="true" t="shared" si="0" ref="I21:I26">E21*G21</f>
        <v>0</v>
      </c>
    </row>
    <row r="22" spans="2:9" ht="12.75">
      <c r="B22" s="1" t="s">
        <v>133</v>
      </c>
      <c r="D22" s="1" t="s">
        <v>99</v>
      </c>
      <c r="E22" s="10">
        <v>5</v>
      </c>
      <c r="G22" s="15">
        <v>0</v>
      </c>
      <c r="I22" s="15">
        <f t="shared" si="0"/>
        <v>0</v>
      </c>
    </row>
    <row r="23" spans="2:9" ht="12.75">
      <c r="B23" s="1" t="s">
        <v>133</v>
      </c>
      <c r="D23" s="1" t="s">
        <v>99</v>
      </c>
      <c r="E23" s="10">
        <v>0</v>
      </c>
      <c r="G23" s="15">
        <v>0</v>
      </c>
      <c r="I23" s="15">
        <f t="shared" si="0"/>
        <v>0</v>
      </c>
    </row>
    <row r="24" spans="2:9" ht="12.75">
      <c r="B24" s="1" t="s">
        <v>133</v>
      </c>
      <c r="D24" s="1" t="s">
        <v>99</v>
      </c>
      <c r="E24" s="10">
        <v>0</v>
      </c>
      <c r="G24" s="15">
        <v>0</v>
      </c>
      <c r="I24" s="15">
        <f t="shared" si="0"/>
        <v>0</v>
      </c>
    </row>
    <row r="25" spans="2:9" ht="12.75">
      <c r="B25" s="1" t="s">
        <v>133</v>
      </c>
      <c r="D25" s="1" t="s">
        <v>99</v>
      </c>
      <c r="E25" s="10">
        <v>0</v>
      </c>
      <c r="G25" s="15">
        <v>0</v>
      </c>
      <c r="I25" s="15">
        <f t="shared" si="0"/>
        <v>0</v>
      </c>
    </row>
    <row r="26" spans="2:9" ht="12.75">
      <c r="B26" s="1" t="s">
        <v>133</v>
      </c>
      <c r="D26" s="1" t="s">
        <v>99</v>
      </c>
      <c r="E26" s="10">
        <v>0</v>
      </c>
      <c r="G26" s="15">
        <v>0</v>
      </c>
      <c r="I26" s="15">
        <f t="shared" si="0"/>
        <v>0</v>
      </c>
    </row>
    <row r="27" spans="2:9" ht="13.5" thickBot="1">
      <c r="B27" s="21" t="s">
        <v>222</v>
      </c>
      <c r="E27" s="10"/>
      <c r="G27" s="15"/>
      <c r="I27" s="49">
        <f>SUM(I21:I26)</f>
        <v>0</v>
      </c>
    </row>
    <row r="28" spans="5:9" ht="13.5" thickTop="1">
      <c r="E28" s="10"/>
      <c r="G28" s="15"/>
      <c r="I28" s="48"/>
    </row>
    <row r="29" spans="2:9" ht="12.75">
      <c r="B29" s="1" t="s">
        <v>180</v>
      </c>
      <c r="D29" s="1" t="s">
        <v>99</v>
      </c>
      <c r="E29" s="10">
        <v>0</v>
      </c>
      <c r="G29" s="15">
        <v>0</v>
      </c>
      <c r="I29" s="15">
        <f>E29*G29</f>
        <v>0</v>
      </c>
    </row>
    <row r="30" spans="2:9" ht="12.75">
      <c r="B30" s="1" t="s">
        <v>180</v>
      </c>
      <c r="D30" s="1" t="s">
        <v>99</v>
      </c>
      <c r="E30" s="10">
        <v>0</v>
      </c>
      <c r="G30" s="15">
        <v>0</v>
      </c>
      <c r="I30" s="15">
        <f>E30*G30</f>
        <v>0</v>
      </c>
    </row>
    <row r="31" spans="2:9" ht="12.75">
      <c r="B31" s="1" t="s">
        <v>180</v>
      </c>
      <c r="D31" s="1" t="s">
        <v>99</v>
      </c>
      <c r="E31" s="10">
        <v>0</v>
      </c>
      <c r="G31" s="15">
        <v>0</v>
      </c>
      <c r="I31" s="15">
        <f>E31*G31</f>
        <v>0</v>
      </c>
    </row>
    <row r="32" spans="2:9" ht="12.75">
      <c r="B32" s="1" t="s">
        <v>180</v>
      </c>
      <c r="D32" s="1" t="s">
        <v>99</v>
      </c>
      <c r="E32" s="10">
        <v>0</v>
      </c>
      <c r="G32" s="15">
        <v>0</v>
      </c>
      <c r="I32" s="15">
        <f>E32*G32</f>
        <v>0</v>
      </c>
    </row>
    <row r="33" spans="2:9" ht="12.75">
      <c r="B33" s="21" t="s">
        <v>284</v>
      </c>
      <c r="C33" s="21"/>
      <c r="D33" s="21"/>
      <c r="E33" s="21"/>
      <c r="F33" s="21"/>
      <c r="G33" s="35"/>
      <c r="H33" s="21"/>
      <c r="I33" s="35">
        <v>0</v>
      </c>
    </row>
    <row r="34" spans="2:9" ht="13.5" thickBot="1">
      <c r="B34" s="22" t="s">
        <v>285</v>
      </c>
      <c r="G34" s="15"/>
      <c r="I34" s="51">
        <v>0</v>
      </c>
    </row>
    <row r="35" ht="13.5" thickTop="1">
      <c r="I35" s="50"/>
    </row>
    <row r="36" spans="1:9" ht="12.75">
      <c r="A36" s="1" t="s">
        <v>78</v>
      </c>
      <c r="I36" s="16"/>
    </row>
    <row r="37" ht="12.75">
      <c r="I37" s="16"/>
    </row>
    <row r="38" ht="12.75">
      <c r="I38" s="16"/>
    </row>
    <row r="39" ht="12.75">
      <c r="I39" s="16"/>
    </row>
    <row r="40" ht="12.75">
      <c r="I40" s="16"/>
    </row>
    <row r="41" ht="12.75">
      <c r="I41" s="16"/>
    </row>
    <row r="42" ht="12.75">
      <c r="I42" s="16"/>
    </row>
    <row r="43" ht="12.75">
      <c r="I43" s="16"/>
    </row>
    <row r="44" ht="12.75">
      <c r="I44" s="16"/>
    </row>
    <row r="45" ht="12.75">
      <c r="I45" s="16"/>
    </row>
    <row r="46" ht="12.75">
      <c r="I46" s="16"/>
    </row>
    <row r="47" ht="12.75">
      <c r="I47" s="16"/>
    </row>
    <row r="48" ht="12.75">
      <c r="I48" s="16"/>
    </row>
    <row r="49" ht="12.75">
      <c r="I49" s="16"/>
    </row>
    <row r="50" ht="12.75">
      <c r="I50" s="16"/>
    </row>
    <row r="51" ht="12.75">
      <c r="I51" s="16"/>
    </row>
    <row r="52" ht="12.75">
      <c r="I52" s="16"/>
    </row>
    <row r="53" ht="12.75">
      <c r="I53" s="16"/>
    </row>
    <row r="54" ht="12.75">
      <c r="I54" s="16"/>
    </row>
    <row r="55" ht="12.75">
      <c r="I55" s="16"/>
    </row>
    <row r="56" ht="12.75">
      <c r="I56" s="16"/>
    </row>
    <row r="57" ht="12.75">
      <c r="I57" s="16"/>
    </row>
    <row r="58" ht="12.75">
      <c r="I58" s="16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28125" style="1" customWidth="1"/>
    <col min="8" max="8" width="6.2812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47" t="s">
        <v>296</v>
      </c>
      <c r="D2" s="4"/>
      <c r="E2" s="4"/>
      <c r="F2" s="4"/>
      <c r="G2" s="4"/>
      <c r="H2" s="4"/>
      <c r="I2" s="4"/>
      <c r="J2" s="4"/>
      <c r="K2" s="4"/>
    </row>
    <row r="3" spans="4:11" ht="12.75">
      <c r="D3" s="4"/>
      <c r="E3" s="4"/>
      <c r="F3" s="4"/>
      <c r="G3" s="4"/>
      <c r="H3" s="4"/>
      <c r="I3" s="4"/>
      <c r="J3" s="4"/>
      <c r="K3" s="4"/>
    </row>
    <row r="4" spans="3:11" ht="15.75">
      <c r="C4" s="59" t="s">
        <v>305</v>
      </c>
      <c r="E4" s="6"/>
      <c r="F4" s="6"/>
      <c r="G4" s="6"/>
      <c r="H4" s="6"/>
      <c r="I4" s="6"/>
      <c r="J4" s="6"/>
      <c r="K4" s="6"/>
    </row>
    <row r="5" spans="4:11" ht="12.75">
      <c r="D5" s="4"/>
      <c r="E5" s="4"/>
      <c r="F5" s="4"/>
      <c r="G5" s="4"/>
      <c r="H5" s="4"/>
      <c r="I5" s="4"/>
      <c r="J5" s="4"/>
      <c r="K5" s="4"/>
    </row>
    <row r="6" spans="4:11" ht="12.75">
      <c r="D6" s="4" t="s">
        <v>118</v>
      </c>
      <c r="E6" s="4" t="s">
        <v>126</v>
      </c>
      <c r="F6" s="2" t="s">
        <v>126</v>
      </c>
      <c r="G6" s="4" t="s">
        <v>89</v>
      </c>
      <c r="H6" s="4" t="s">
        <v>177</v>
      </c>
      <c r="I6" s="4" t="s">
        <v>132</v>
      </c>
      <c r="J6" s="4" t="s">
        <v>170</v>
      </c>
      <c r="K6" s="4" t="s">
        <v>162</v>
      </c>
    </row>
    <row r="7" spans="4:11" ht="12.75">
      <c r="D7" s="4" t="s">
        <v>252</v>
      </c>
      <c r="E7" s="4" t="s">
        <v>210</v>
      </c>
      <c r="F7" s="2" t="s">
        <v>116</v>
      </c>
      <c r="G7" s="4" t="s">
        <v>184</v>
      </c>
      <c r="H7" s="4" t="s">
        <v>220</v>
      </c>
      <c r="I7" s="4" t="s">
        <v>245</v>
      </c>
      <c r="J7" s="4" t="s">
        <v>201</v>
      </c>
      <c r="K7" s="4" t="s">
        <v>245</v>
      </c>
    </row>
    <row r="8" spans="2:11" ht="12.75">
      <c r="B8" s="1" t="s">
        <v>56</v>
      </c>
      <c r="D8" s="4" t="s">
        <v>69</v>
      </c>
      <c r="E8" s="4" t="s">
        <v>72</v>
      </c>
      <c r="F8" s="2" t="s">
        <v>67</v>
      </c>
      <c r="G8" s="4" t="s">
        <v>144</v>
      </c>
      <c r="H8" s="4" t="s">
        <v>181</v>
      </c>
      <c r="I8" s="4" t="s">
        <v>70</v>
      </c>
      <c r="J8" s="4" t="s">
        <v>68</v>
      </c>
      <c r="K8" s="4" t="s">
        <v>71</v>
      </c>
    </row>
    <row r="9" spans="4:11" ht="12.75">
      <c r="D9" s="4"/>
      <c r="E9" s="4"/>
      <c r="F9" s="4"/>
      <c r="G9" s="4"/>
      <c r="H9" s="4"/>
      <c r="I9" s="4"/>
      <c r="J9" s="4"/>
      <c r="K9" s="4"/>
    </row>
    <row r="10" spans="2:11" ht="12.75">
      <c r="B10" s="9" t="s">
        <v>191</v>
      </c>
      <c r="D10" s="4"/>
      <c r="E10" s="4"/>
      <c r="F10" s="4"/>
      <c r="G10" s="4"/>
      <c r="H10" s="4"/>
      <c r="I10" s="4"/>
      <c r="J10" s="4"/>
      <c r="K10" s="4"/>
    </row>
    <row r="11" spans="2:11" ht="12.75">
      <c r="B11" s="1" t="s">
        <v>63</v>
      </c>
      <c r="D11" s="4"/>
      <c r="E11" s="4"/>
      <c r="F11" s="4"/>
      <c r="G11" s="4" t="s">
        <v>0</v>
      </c>
      <c r="H11" s="2" t="s">
        <v>0</v>
      </c>
      <c r="I11" s="4"/>
      <c r="J11" s="4" t="s">
        <v>0</v>
      </c>
      <c r="K11" s="4" t="s">
        <v>0</v>
      </c>
    </row>
    <row r="12" spans="2:11" ht="12.75">
      <c r="B12" s="1" t="s">
        <v>5</v>
      </c>
      <c r="D12" s="4">
        <v>20</v>
      </c>
      <c r="E12" s="4">
        <v>3</v>
      </c>
      <c r="F12" s="2">
        <v>70</v>
      </c>
      <c r="G12" s="4">
        <f>(D12*E12*(F12/100))/8.25</f>
        <v>5.090909090909091</v>
      </c>
      <c r="H12" s="2">
        <v>3</v>
      </c>
      <c r="I12" s="4">
        <f>(H12*(1/G12))*0.05*75</f>
        <v>2.209821428571429</v>
      </c>
      <c r="J12" s="4">
        <f>(H55+H46)*(1/G12*H12)</f>
        <v>0</v>
      </c>
      <c r="K12" s="4">
        <f>H12*(1/G12)*1.2</f>
        <v>0.7071428571428572</v>
      </c>
    </row>
    <row r="13" spans="2:11" ht="12.75">
      <c r="B13" s="1" t="s">
        <v>4</v>
      </c>
      <c r="D13" s="4">
        <v>40</v>
      </c>
      <c r="E13" s="4">
        <v>2.5</v>
      </c>
      <c r="F13" s="2">
        <v>65</v>
      </c>
      <c r="G13" s="4">
        <f>(D13*E13*(F13/100))/8.25</f>
        <v>7.878787878787879</v>
      </c>
      <c r="H13" s="2">
        <v>12</v>
      </c>
      <c r="I13" s="4">
        <f>(H13*(1/G13))*0.05*325</f>
        <v>24.75</v>
      </c>
      <c r="J13" s="4">
        <f>(H56+H47)*(1/G13*H13)</f>
        <v>0</v>
      </c>
      <c r="K13" s="4">
        <f>H13*(1/G13)*1.2</f>
        <v>1.8276923076923075</v>
      </c>
    </row>
    <row r="14" spans="2:11" ht="12.75">
      <c r="B14" s="1" t="s">
        <v>59</v>
      </c>
      <c r="D14" s="4">
        <v>15</v>
      </c>
      <c r="E14" s="4">
        <v>6</v>
      </c>
      <c r="F14" s="2">
        <v>95</v>
      </c>
      <c r="G14" s="4">
        <f>(D14*E14*(F14/100))/8.25</f>
        <v>10.363636363636363</v>
      </c>
      <c r="H14" s="2">
        <v>5</v>
      </c>
      <c r="I14" s="4">
        <f>(H14*(1/G14))*0.05*125</f>
        <v>3.0153508771929833</v>
      </c>
      <c r="J14" s="4">
        <f>(H56+H48)*(1/G14*H14)</f>
        <v>0</v>
      </c>
      <c r="K14" s="4">
        <f>H14*(1/G14)*1.2</f>
        <v>0.5789473684210527</v>
      </c>
    </row>
    <row r="16" spans="2:12" ht="13.5" thickBot="1">
      <c r="B16" s="13" t="s">
        <v>236</v>
      </c>
      <c r="D16" s="4"/>
      <c r="F16" s="4"/>
      <c r="G16" s="4"/>
      <c r="H16" s="4"/>
      <c r="I16" s="37">
        <f>SUM(I11:I14)</f>
        <v>29.975172305764413</v>
      </c>
      <c r="J16" s="37">
        <f>SUM(J11:J14)</f>
        <v>0</v>
      </c>
      <c r="K16" s="37">
        <f>SUM(K11:K14)</f>
        <v>3.1137825332562175</v>
      </c>
      <c r="L16" s="44">
        <f>SUM(I16:K16)</f>
        <v>33.08895483902063</v>
      </c>
    </row>
    <row r="17" spans="2:12" ht="13.5" thickTop="1">
      <c r="B17" s="10"/>
      <c r="D17" s="4"/>
      <c r="E17" s="4"/>
      <c r="F17" s="4"/>
      <c r="G17" s="4"/>
      <c r="H17" s="4"/>
      <c r="I17" s="52"/>
      <c r="J17" s="52"/>
      <c r="K17" s="52"/>
      <c r="L17" s="36"/>
    </row>
    <row r="18" spans="2:11" ht="12.75">
      <c r="B18" s="13" t="s">
        <v>137</v>
      </c>
      <c r="D18" s="4"/>
      <c r="E18" s="4"/>
      <c r="F18" s="4"/>
      <c r="G18" s="4"/>
      <c r="H18" s="4"/>
      <c r="I18" s="4"/>
      <c r="J18" s="4"/>
      <c r="K18" s="4"/>
    </row>
    <row r="19" spans="2:11" ht="12.75">
      <c r="B19" s="10" t="s">
        <v>61</v>
      </c>
      <c r="D19" s="2">
        <v>40</v>
      </c>
      <c r="E19" s="4">
        <v>1</v>
      </c>
      <c r="F19" s="2">
        <v>90</v>
      </c>
      <c r="G19" s="4">
        <f>(D19*E19*(F19/100))/8.25</f>
        <v>4.363636363636363</v>
      </c>
      <c r="H19" s="2">
        <v>3</v>
      </c>
      <c r="I19" s="4">
        <f>(H19*(1/G19))*0.05*90</f>
        <v>3.0937500000000004</v>
      </c>
      <c r="J19" s="4">
        <f>(H61+H57)*(1/G19*H19)</f>
        <v>0</v>
      </c>
      <c r="K19" s="4">
        <f>H19*(1/G19)*1.2</f>
        <v>0.825</v>
      </c>
    </row>
    <row r="20" spans="2:11" ht="12.75">
      <c r="B20" s="1" t="s">
        <v>64</v>
      </c>
      <c r="D20" s="3">
        <v>10</v>
      </c>
      <c r="E20" s="4">
        <v>3</v>
      </c>
      <c r="F20" s="3">
        <v>90</v>
      </c>
      <c r="G20" s="4">
        <f>(D20*E20*(F20/100))/8.25</f>
        <v>3.272727272727273</v>
      </c>
      <c r="H20" s="2">
        <v>3</v>
      </c>
      <c r="I20" s="4">
        <f>(H20*(1/G20))*0.05*75</f>
        <v>3.4374999999999996</v>
      </c>
      <c r="J20" s="4">
        <f>(H51+H55)*(1/G20*H20)</f>
        <v>0</v>
      </c>
      <c r="K20" s="4">
        <f>H20*(1/G20)*1.2</f>
        <v>1.0999999999999999</v>
      </c>
    </row>
    <row r="21" spans="2:11" ht="12.75">
      <c r="B21" s="1" t="s">
        <v>53</v>
      </c>
      <c r="D21" s="3">
        <v>10</v>
      </c>
      <c r="E21" s="4">
        <v>2</v>
      </c>
      <c r="F21" s="3">
        <v>80</v>
      </c>
      <c r="G21" s="4">
        <v>7</v>
      </c>
      <c r="H21" s="2">
        <v>3</v>
      </c>
      <c r="I21" s="4">
        <f>(H21*(1/G21))*0.05*125</f>
        <v>2.6785714285714284</v>
      </c>
      <c r="J21" s="4">
        <f>(H52+H56)*(1/G21*H21)</f>
        <v>0</v>
      </c>
      <c r="K21" s="4">
        <f>H21*(1/G21)*1.2</f>
        <v>0.5142857142857142</v>
      </c>
    </row>
    <row r="22" spans="2:11" ht="12.75">
      <c r="B22" s="1" t="s">
        <v>54</v>
      </c>
      <c r="H22" s="2"/>
      <c r="I22" s="4">
        <v>5</v>
      </c>
      <c r="J22" s="4">
        <v>0.5</v>
      </c>
      <c r="K22" s="4">
        <v>1</v>
      </c>
    </row>
    <row r="23" spans="2:12" ht="13.5" thickBot="1">
      <c r="B23" s="13" t="s">
        <v>229</v>
      </c>
      <c r="I23" s="37">
        <f>SUM(I19:I22)</f>
        <v>14.209821428571429</v>
      </c>
      <c r="J23" s="37">
        <f>SUM(J19:J22)</f>
        <v>0.5</v>
      </c>
      <c r="K23" s="37">
        <f>SUM(K19:K22)</f>
        <v>3.439285714285714</v>
      </c>
      <c r="L23" s="44">
        <f>SUM(I23:K23)</f>
        <v>18.149107142857144</v>
      </c>
    </row>
    <row r="24" spans="9:12" ht="13.5" thickTop="1">
      <c r="I24" s="36"/>
      <c r="J24" s="36"/>
      <c r="K24" s="36"/>
      <c r="L24" s="36"/>
    </row>
    <row r="36" ht="12.75">
      <c r="A36" s="1" t="s">
        <v>78</v>
      </c>
    </row>
    <row r="43" spans="4:9" ht="12.75">
      <c r="D43" s="4"/>
      <c r="E43" s="4"/>
      <c r="F43" s="4"/>
      <c r="G43" s="4"/>
      <c r="H43" s="4"/>
      <c r="I43" s="4"/>
    </row>
    <row r="44" spans="4:9" ht="12.75">
      <c r="D44" s="4"/>
      <c r="E44" s="4"/>
      <c r="F44" s="4"/>
      <c r="G44" s="4"/>
      <c r="H44" s="4"/>
      <c r="I44" s="4"/>
    </row>
    <row r="45" spans="4:9" ht="12.75">
      <c r="D45" s="4"/>
      <c r="E45" s="7"/>
      <c r="F45" s="2"/>
      <c r="G45" s="4"/>
      <c r="H45" s="4"/>
      <c r="I45" s="4"/>
    </row>
    <row r="46" spans="4:9" ht="12.75">
      <c r="D46" s="4"/>
      <c r="E46" s="7"/>
      <c r="F46" s="2"/>
      <c r="G46" s="4"/>
      <c r="H46" s="4"/>
      <c r="I46" s="4"/>
    </row>
    <row r="47" spans="4:9" ht="12.75">
      <c r="D47" s="4"/>
      <c r="E47" s="2"/>
      <c r="F47" s="2"/>
      <c r="G47" s="4"/>
      <c r="H47" s="4"/>
      <c r="I47" s="4"/>
    </row>
    <row r="48" spans="4:9" ht="12.75">
      <c r="D48" s="4"/>
      <c r="E48" s="2"/>
      <c r="F48" s="2"/>
      <c r="G48" s="4"/>
      <c r="H48" s="4"/>
      <c r="I48" s="4"/>
    </row>
    <row r="49" spans="5:9" ht="12.75">
      <c r="E49" s="7"/>
      <c r="F49" s="2"/>
      <c r="G49" s="3"/>
      <c r="H49" s="4"/>
      <c r="I49" s="4"/>
    </row>
    <row r="50" spans="5:9" ht="12.75">
      <c r="E50" s="7"/>
      <c r="F50" s="3"/>
      <c r="G50" s="3"/>
      <c r="H50" s="4"/>
      <c r="I50" s="4"/>
    </row>
    <row r="51" spans="5:9" ht="12.75">
      <c r="E51" s="7"/>
      <c r="F51" s="3"/>
      <c r="G51" s="3"/>
      <c r="H51" s="4"/>
      <c r="I51" s="4"/>
    </row>
    <row r="52" spans="5:9" ht="12.75">
      <c r="E52" s="7"/>
      <c r="F52" s="3"/>
      <c r="G52" s="3"/>
      <c r="H52" s="4"/>
      <c r="I52" s="4"/>
    </row>
    <row r="53" spans="5:9" ht="12.75">
      <c r="E53" s="7"/>
      <c r="F53" s="3"/>
      <c r="G53" s="3"/>
      <c r="H53" s="4"/>
      <c r="I53" s="4"/>
    </row>
    <row r="54" spans="4:9" ht="12.75">
      <c r="D54" s="4"/>
      <c r="E54" s="2"/>
      <c r="F54" s="2"/>
      <c r="G54" s="4"/>
      <c r="H54" s="4"/>
      <c r="I54" s="4"/>
    </row>
    <row r="55" spans="4:9" ht="12.75">
      <c r="D55" s="4"/>
      <c r="E55" s="2"/>
      <c r="F55" s="2"/>
      <c r="G55" s="4"/>
      <c r="H55" s="4"/>
      <c r="I55" s="4"/>
    </row>
    <row r="56" spans="4:9" ht="12.75">
      <c r="D56" s="4"/>
      <c r="E56" s="2"/>
      <c r="F56" s="2"/>
      <c r="G56" s="4"/>
      <c r="H56" s="4"/>
      <c r="I56" s="4"/>
    </row>
    <row r="57" spans="5:9" ht="12.75">
      <c r="E57" s="2"/>
      <c r="F57" s="3"/>
      <c r="G57" s="4"/>
      <c r="H57" s="4"/>
      <c r="I57" s="4"/>
    </row>
    <row r="58" spans="5:6" ht="12.75">
      <c r="E58" s="7"/>
      <c r="F58" s="3"/>
    </row>
    <row r="59" ht="12.75">
      <c r="F59" s="3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1.421875" style="1" customWidth="1"/>
    <col min="2" max="2" width="19.28125" style="1" customWidth="1"/>
    <col min="3" max="3" width="5.8515625" style="1" customWidth="1"/>
    <col min="4" max="4" width="8.8515625" style="1" customWidth="1"/>
    <col min="5" max="5" width="10.7109375" style="1" customWidth="1"/>
    <col min="6" max="6" width="9.140625" style="1" customWidth="1"/>
    <col min="7" max="7" width="7.42187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0" customWidth="1"/>
    <col min="12" max="16384" width="9.140625" style="1" customWidth="1"/>
  </cols>
  <sheetData>
    <row r="2" ht="12.75">
      <c r="B2" s="47" t="s">
        <v>296</v>
      </c>
    </row>
    <row r="4" spans="2:11" ht="15.75">
      <c r="B4" s="160" t="s">
        <v>315</v>
      </c>
      <c r="C4" s="157"/>
      <c r="D4" s="157"/>
      <c r="E4" s="157"/>
      <c r="F4" s="157"/>
      <c r="G4" s="157"/>
      <c r="H4" s="157"/>
      <c r="I4" s="157"/>
      <c r="J4" s="157"/>
      <c r="K4" s="157"/>
    </row>
    <row r="6" spans="2:5" ht="12.75">
      <c r="B6" s="1" t="s">
        <v>89</v>
      </c>
      <c r="C6" s="7">
        <v>400</v>
      </c>
      <c r="D6" s="22" t="s">
        <v>185</v>
      </c>
      <c r="E6" s="7" t="s">
        <v>0</v>
      </c>
    </row>
    <row r="7" spans="2:5" ht="12.75">
      <c r="B7" s="1" t="s">
        <v>151</v>
      </c>
      <c r="C7" s="17">
        <v>0.065</v>
      </c>
      <c r="D7" s="22" t="s">
        <v>246</v>
      </c>
      <c r="E7" s="7" t="s">
        <v>0</v>
      </c>
    </row>
    <row r="8" spans="4:11" ht="12.75">
      <c r="D8" s="22" t="s">
        <v>131</v>
      </c>
      <c r="E8" s="56" t="s">
        <v>195</v>
      </c>
      <c r="F8" s="22" t="s">
        <v>207</v>
      </c>
      <c r="G8" s="22" t="s">
        <v>257</v>
      </c>
      <c r="H8" s="3"/>
      <c r="I8" s="3"/>
      <c r="J8" s="3"/>
      <c r="K8" s="4"/>
    </row>
    <row r="9" spans="2:11" ht="12.75">
      <c r="B9" s="22" t="s">
        <v>55</v>
      </c>
      <c r="C9" s="21"/>
      <c r="D9" s="22" t="s">
        <v>112</v>
      </c>
      <c r="E9" s="56" t="s">
        <v>193</v>
      </c>
      <c r="F9" s="22" t="s">
        <v>247</v>
      </c>
      <c r="G9" s="22" t="s">
        <v>166</v>
      </c>
      <c r="H9" s="22" t="s">
        <v>113</v>
      </c>
      <c r="I9" s="22" t="s">
        <v>150</v>
      </c>
      <c r="J9" s="22" t="s">
        <v>214</v>
      </c>
      <c r="K9" s="22" t="s">
        <v>124</v>
      </c>
    </row>
    <row r="10" spans="5:11" ht="12.75">
      <c r="E10" s="11"/>
      <c r="F10" s="11"/>
      <c r="G10" s="11"/>
      <c r="H10" s="11"/>
      <c r="I10" s="11"/>
      <c r="J10" s="11"/>
      <c r="K10" s="18"/>
    </row>
    <row r="11" spans="2:11" ht="12.75">
      <c r="B11" s="24" t="s">
        <v>301</v>
      </c>
      <c r="C11" s="26"/>
      <c r="D11" s="28">
        <v>1</v>
      </c>
      <c r="E11" s="29">
        <v>2500</v>
      </c>
      <c r="F11" s="29">
        <f>E11*0.2</f>
        <v>500</v>
      </c>
      <c r="G11" s="29">
        <v>10</v>
      </c>
      <c r="H11" s="29">
        <f aca="true" t="shared" si="0" ref="H11:H24">(E11-F11)/G11*D11</f>
        <v>200</v>
      </c>
      <c r="I11" s="29">
        <f aca="true" t="shared" si="1" ref="I11:I24">(E11+F11)/2*C$7*D11</f>
        <v>97.5</v>
      </c>
      <c r="J11" s="29">
        <f aca="true" t="shared" si="2" ref="J11:J24">(E11+F11)/2*0.014*D11</f>
        <v>21</v>
      </c>
      <c r="K11" s="30">
        <f aca="true" t="shared" si="3" ref="K11:K24">(H11+I11+J11)/$C$6</f>
        <v>0.79625</v>
      </c>
    </row>
    <row r="12" spans="2:11" ht="12.75">
      <c r="B12" s="24" t="s">
        <v>62</v>
      </c>
      <c r="C12" s="26"/>
      <c r="D12" s="28">
        <v>1</v>
      </c>
      <c r="E12" s="29">
        <v>120000</v>
      </c>
      <c r="F12" s="29">
        <f>E12*0.2</f>
        <v>24000</v>
      </c>
      <c r="G12" s="29">
        <v>5</v>
      </c>
      <c r="H12" s="29">
        <f t="shared" si="0"/>
        <v>19200</v>
      </c>
      <c r="I12" s="29">
        <f t="shared" si="1"/>
        <v>4680</v>
      </c>
      <c r="J12" s="29">
        <f t="shared" si="2"/>
        <v>1008</v>
      </c>
      <c r="K12" s="30">
        <f t="shared" si="3"/>
        <v>62.22</v>
      </c>
    </row>
    <row r="13" spans="2:11" ht="12.75">
      <c r="B13" s="24" t="s">
        <v>60</v>
      </c>
      <c r="C13" s="26"/>
      <c r="D13" s="28">
        <v>1</v>
      </c>
      <c r="E13" s="29">
        <v>21000</v>
      </c>
      <c r="F13" s="29">
        <f>E13*0.2</f>
        <v>4200</v>
      </c>
      <c r="G13" s="29">
        <v>10</v>
      </c>
      <c r="H13" s="29">
        <f t="shared" si="0"/>
        <v>1680</v>
      </c>
      <c r="I13" s="29">
        <f t="shared" si="1"/>
        <v>819</v>
      </c>
      <c r="J13" s="29">
        <f t="shared" si="2"/>
        <v>176.4</v>
      </c>
      <c r="K13" s="30">
        <f t="shared" si="3"/>
        <v>6.6885</v>
      </c>
    </row>
    <row r="14" spans="2:11" ht="12.75">
      <c r="B14" s="24" t="s">
        <v>262</v>
      </c>
      <c r="C14" s="26"/>
      <c r="D14" s="28">
        <v>1</v>
      </c>
      <c r="E14" s="29">
        <v>26000</v>
      </c>
      <c r="F14" s="29">
        <f>E14*0.2</f>
        <v>5200</v>
      </c>
      <c r="G14" s="29">
        <v>10</v>
      </c>
      <c r="H14" s="29">
        <f t="shared" si="0"/>
        <v>2080</v>
      </c>
      <c r="I14" s="29">
        <f t="shared" si="1"/>
        <v>1014</v>
      </c>
      <c r="J14" s="29">
        <f t="shared" si="2"/>
        <v>218.4</v>
      </c>
      <c r="K14" s="30">
        <f t="shared" si="3"/>
        <v>8.281</v>
      </c>
    </row>
    <row r="15" spans="2:11" ht="12.75">
      <c r="B15" s="24" t="s">
        <v>251</v>
      </c>
      <c r="C15" s="26"/>
      <c r="D15" s="28">
        <v>1</v>
      </c>
      <c r="E15" s="29">
        <v>3600</v>
      </c>
      <c r="F15" s="29">
        <v>500</v>
      </c>
      <c r="G15" s="29">
        <v>5</v>
      </c>
      <c r="H15" s="29">
        <f t="shared" si="0"/>
        <v>620</v>
      </c>
      <c r="I15" s="29">
        <f t="shared" si="1"/>
        <v>133.25</v>
      </c>
      <c r="J15" s="29">
        <f t="shared" si="2"/>
        <v>28.7</v>
      </c>
      <c r="K15" s="30">
        <f t="shared" si="3"/>
        <v>1.9548750000000001</v>
      </c>
    </row>
    <row r="16" spans="2:11" ht="12.75">
      <c r="B16" s="25" t="s">
        <v>299</v>
      </c>
      <c r="C16" s="31"/>
      <c r="D16" s="28">
        <v>1</v>
      </c>
      <c r="E16" s="29">
        <v>80000</v>
      </c>
      <c r="F16" s="29">
        <f aca="true" t="shared" si="4" ref="F16:F24">E16*0.2</f>
        <v>16000</v>
      </c>
      <c r="G16" s="29">
        <v>10</v>
      </c>
      <c r="H16" s="29">
        <f t="shared" si="0"/>
        <v>6400</v>
      </c>
      <c r="I16" s="29">
        <f t="shared" si="1"/>
        <v>3120</v>
      </c>
      <c r="J16" s="29">
        <f t="shared" si="2"/>
        <v>672</v>
      </c>
      <c r="K16" s="30">
        <f t="shared" si="3"/>
        <v>25.48</v>
      </c>
    </row>
    <row r="17" spans="2:11" ht="12.75">
      <c r="B17" s="25" t="s">
        <v>299</v>
      </c>
      <c r="C17" s="31"/>
      <c r="D17" s="28">
        <v>1</v>
      </c>
      <c r="E17" s="29">
        <v>80000</v>
      </c>
      <c r="F17" s="29">
        <f t="shared" si="4"/>
        <v>16000</v>
      </c>
      <c r="G17" s="29">
        <v>8</v>
      </c>
      <c r="H17" s="29">
        <f t="shared" si="0"/>
        <v>8000</v>
      </c>
      <c r="I17" s="29">
        <f t="shared" si="1"/>
        <v>3120</v>
      </c>
      <c r="J17" s="29">
        <f t="shared" si="2"/>
        <v>672</v>
      </c>
      <c r="K17" s="30">
        <f t="shared" si="3"/>
        <v>29.48</v>
      </c>
    </row>
    <row r="18" spans="2:11" ht="12.75">
      <c r="B18" s="25" t="s">
        <v>300</v>
      </c>
      <c r="C18" s="31"/>
      <c r="D18" s="28">
        <v>1</v>
      </c>
      <c r="E18" s="29">
        <v>75000</v>
      </c>
      <c r="F18" s="29">
        <f t="shared" si="4"/>
        <v>15000</v>
      </c>
      <c r="G18" s="29">
        <v>10</v>
      </c>
      <c r="H18" s="29">
        <f t="shared" si="0"/>
        <v>6000</v>
      </c>
      <c r="I18" s="29">
        <f t="shared" si="1"/>
        <v>2925</v>
      </c>
      <c r="J18" s="29">
        <f t="shared" si="2"/>
        <v>630</v>
      </c>
      <c r="K18" s="30">
        <f t="shared" si="3"/>
        <v>23.8875</v>
      </c>
    </row>
    <row r="19" spans="2:11" ht="12.75">
      <c r="B19" s="25" t="s">
        <v>242</v>
      </c>
      <c r="C19" s="31"/>
      <c r="D19" s="28">
        <v>1</v>
      </c>
      <c r="E19" s="29">
        <v>40000</v>
      </c>
      <c r="F19" s="29">
        <f t="shared" si="4"/>
        <v>8000</v>
      </c>
      <c r="G19" s="29">
        <v>5</v>
      </c>
      <c r="H19" s="29">
        <f t="shared" si="0"/>
        <v>6400</v>
      </c>
      <c r="I19" s="29">
        <f t="shared" si="1"/>
        <v>1560</v>
      </c>
      <c r="J19" s="29">
        <f t="shared" si="2"/>
        <v>336</v>
      </c>
      <c r="K19" s="30">
        <f t="shared" si="3"/>
        <v>20.74</v>
      </c>
    </row>
    <row r="20" spans="2:11" ht="12.75">
      <c r="B20" s="25" t="s">
        <v>102</v>
      </c>
      <c r="C20" s="31"/>
      <c r="D20" s="28">
        <v>1</v>
      </c>
      <c r="E20" s="29">
        <v>6500</v>
      </c>
      <c r="F20" s="29">
        <f t="shared" si="4"/>
        <v>1300</v>
      </c>
      <c r="G20" s="29">
        <v>5</v>
      </c>
      <c r="H20" s="29">
        <f t="shared" si="0"/>
        <v>1040</v>
      </c>
      <c r="I20" s="29">
        <f t="shared" si="1"/>
        <v>253.5</v>
      </c>
      <c r="J20" s="29">
        <f t="shared" si="2"/>
        <v>54.6</v>
      </c>
      <c r="K20" s="30">
        <f t="shared" si="3"/>
        <v>3.37025</v>
      </c>
    </row>
    <row r="21" spans="2:11" ht="12.75">
      <c r="B21" s="25" t="s">
        <v>212</v>
      </c>
      <c r="C21" s="31"/>
      <c r="D21" s="28">
        <v>1</v>
      </c>
      <c r="E21" s="32">
        <v>32000</v>
      </c>
      <c r="F21" s="29">
        <f t="shared" si="4"/>
        <v>6400</v>
      </c>
      <c r="G21" s="33">
        <v>10</v>
      </c>
      <c r="H21" s="29">
        <f t="shared" si="0"/>
        <v>2560</v>
      </c>
      <c r="I21" s="29">
        <f t="shared" si="1"/>
        <v>1248</v>
      </c>
      <c r="J21" s="29">
        <f t="shared" si="2"/>
        <v>268.8</v>
      </c>
      <c r="K21" s="30">
        <f t="shared" si="3"/>
        <v>10.192</v>
      </c>
    </row>
    <row r="22" spans="2:11" ht="12.75">
      <c r="B22" s="25" t="s">
        <v>139</v>
      </c>
      <c r="C22" s="31"/>
      <c r="D22" s="28">
        <v>1</v>
      </c>
      <c r="E22" s="32">
        <v>60000</v>
      </c>
      <c r="F22" s="29">
        <f t="shared" si="4"/>
        <v>12000</v>
      </c>
      <c r="G22" s="33">
        <v>10</v>
      </c>
      <c r="H22" s="29">
        <f t="shared" si="0"/>
        <v>4800</v>
      </c>
      <c r="I22" s="29">
        <f t="shared" si="1"/>
        <v>2340</v>
      </c>
      <c r="J22" s="29">
        <f t="shared" si="2"/>
        <v>504</v>
      </c>
      <c r="K22" s="30">
        <f t="shared" si="3"/>
        <v>19.11</v>
      </c>
    </row>
    <row r="23" spans="2:11" ht="12.75">
      <c r="B23" s="25" t="s">
        <v>208</v>
      </c>
      <c r="C23" s="31"/>
      <c r="D23" s="28">
        <v>1</v>
      </c>
      <c r="E23" s="29">
        <v>120000</v>
      </c>
      <c r="F23" s="29">
        <f t="shared" si="4"/>
        <v>24000</v>
      </c>
      <c r="G23" s="33">
        <v>5</v>
      </c>
      <c r="H23" s="29">
        <f t="shared" si="0"/>
        <v>19200</v>
      </c>
      <c r="I23" s="29">
        <f t="shared" si="1"/>
        <v>4680</v>
      </c>
      <c r="J23" s="29">
        <f t="shared" si="2"/>
        <v>1008</v>
      </c>
      <c r="K23" s="30">
        <f t="shared" si="3"/>
        <v>62.22</v>
      </c>
    </row>
    <row r="24" spans="2:11" ht="12.75">
      <c r="B24" s="10" t="s">
        <v>268</v>
      </c>
      <c r="C24" s="10"/>
      <c r="D24" s="58">
        <v>1</v>
      </c>
      <c r="E24" s="2">
        <v>15000</v>
      </c>
      <c r="F24" s="2">
        <f t="shared" si="4"/>
        <v>3000</v>
      </c>
      <c r="G24" s="1">
        <v>10</v>
      </c>
      <c r="H24" s="1">
        <f t="shared" si="0"/>
        <v>1200</v>
      </c>
      <c r="I24" s="1">
        <f t="shared" si="1"/>
        <v>585</v>
      </c>
      <c r="J24" s="1">
        <f t="shared" si="2"/>
        <v>126</v>
      </c>
      <c r="K24" s="10">
        <f t="shared" si="3"/>
        <v>4.7775</v>
      </c>
    </row>
    <row r="25" spans="2:6" ht="12.75">
      <c r="B25" s="10"/>
      <c r="C25" s="10"/>
      <c r="D25" s="3"/>
      <c r="E25" s="2"/>
      <c r="F25" s="2"/>
    </row>
    <row r="26" spans="2:11" ht="12.75">
      <c r="B26" s="10"/>
      <c r="C26" s="10"/>
      <c r="D26" s="3"/>
      <c r="E26" s="2"/>
      <c r="F26" s="2"/>
      <c r="K26" s="1"/>
    </row>
    <row r="27" spans="2:11" ht="13.5" thickBot="1">
      <c r="B27" s="13" t="s">
        <v>231</v>
      </c>
      <c r="D27" s="3"/>
      <c r="E27" s="53">
        <f>SUM(E11:E26)</f>
        <v>681600</v>
      </c>
      <c r="F27" s="54">
        <f>SUM(F11:F26)</f>
        <v>136100</v>
      </c>
      <c r="G27" s="9"/>
      <c r="H27" s="55">
        <f>SUM(H11:H26)</f>
        <v>79380</v>
      </c>
      <c r="I27" s="55">
        <f>SUM(I11:I26)</f>
        <v>26575.25</v>
      </c>
      <c r="J27" s="55">
        <f>SUM(J11:J26)</f>
        <v>5723.9</v>
      </c>
      <c r="K27" s="55">
        <f>SUM(K11:K26)</f>
        <v>279.197875</v>
      </c>
    </row>
    <row r="28" spans="4:11" ht="13.5" thickTop="1">
      <c r="D28" s="3"/>
      <c r="E28" s="40"/>
      <c r="F28" s="40"/>
      <c r="G28" s="3"/>
      <c r="H28" s="40"/>
      <c r="I28" s="40"/>
      <c r="J28" s="40"/>
      <c r="K28" s="52"/>
    </row>
    <row r="29" spans="4:11" ht="12.75">
      <c r="D29" s="3"/>
      <c r="E29" s="3"/>
      <c r="F29" s="3"/>
      <c r="G29" s="3"/>
      <c r="H29" s="3"/>
      <c r="I29" s="2">
        <f>H27</f>
        <v>79380</v>
      </c>
      <c r="J29" s="3"/>
      <c r="K29" s="4"/>
    </row>
    <row r="30" spans="4:11" ht="12.75">
      <c r="D30" s="3"/>
      <c r="E30" s="3"/>
      <c r="F30" s="3"/>
      <c r="G30" s="3"/>
      <c r="H30" s="3"/>
      <c r="I30" s="2">
        <f>I27</f>
        <v>26575.25</v>
      </c>
      <c r="J30" s="3"/>
      <c r="K30" s="4"/>
    </row>
    <row r="31" spans="4:11" ht="12.75">
      <c r="D31" s="3"/>
      <c r="E31" s="3"/>
      <c r="F31" s="3"/>
      <c r="G31" s="3"/>
      <c r="H31" s="3"/>
      <c r="I31" s="2">
        <f>J27</f>
        <v>5723.9</v>
      </c>
      <c r="J31" s="3"/>
      <c r="K31" s="4"/>
    </row>
    <row r="32" spans="4:11" ht="12.75">
      <c r="D32" s="3"/>
      <c r="E32" s="3"/>
      <c r="F32" s="3"/>
      <c r="G32" s="3"/>
      <c r="H32" s="3"/>
      <c r="I32" s="2"/>
      <c r="J32" s="3"/>
      <c r="K32" s="4"/>
    </row>
    <row r="33" spans="2:11" ht="13.5" thickBot="1">
      <c r="B33" s="23" t="s">
        <v>297</v>
      </c>
      <c r="D33" s="3"/>
      <c r="E33" s="3"/>
      <c r="F33" s="3"/>
      <c r="G33" s="3"/>
      <c r="H33" s="3"/>
      <c r="I33" s="38">
        <f>SUM(I29:I32)</f>
        <v>111679.15</v>
      </c>
      <c r="J33" s="3"/>
      <c r="K33" s="4"/>
    </row>
    <row r="34" spans="2:11" ht="14.25" thickBot="1" thickTop="1">
      <c r="B34" s="23" t="s">
        <v>298</v>
      </c>
      <c r="D34" s="3"/>
      <c r="E34" s="3"/>
      <c r="F34" s="3"/>
      <c r="G34" s="3"/>
      <c r="H34" s="3"/>
      <c r="I34" s="57">
        <f>I33/C6</f>
        <v>279.197875</v>
      </c>
      <c r="J34" s="3"/>
      <c r="K34" s="4"/>
    </row>
    <row r="35" spans="4:11" ht="13.5" thickTop="1">
      <c r="D35" s="3"/>
      <c r="E35" s="3"/>
      <c r="F35" s="3"/>
      <c r="G35" s="3"/>
      <c r="H35" s="3"/>
      <c r="I35" s="40"/>
      <c r="J35" s="3"/>
      <c r="K35" s="4"/>
    </row>
    <row r="36" spans="4:11" ht="12.75">
      <c r="D36" s="3"/>
      <c r="E36" s="3"/>
      <c r="F36" s="3"/>
      <c r="G36" s="3"/>
      <c r="H36" s="3"/>
      <c r="I36" s="3"/>
      <c r="J36" s="3"/>
      <c r="K36" s="4"/>
    </row>
    <row r="37" spans="2:11" ht="12.75">
      <c r="B37" s="1" t="s">
        <v>74</v>
      </c>
      <c r="D37" s="3"/>
      <c r="E37" s="3"/>
      <c r="F37" s="3"/>
      <c r="G37" s="3"/>
      <c r="H37" s="3"/>
      <c r="I37" s="3"/>
      <c r="J37" s="3"/>
      <c r="K37" s="4"/>
    </row>
    <row r="38" spans="2:11" ht="12.75">
      <c r="B38" s="1" t="s">
        <v>76</v>
      </c>
      <c r="D38" s="3"/>
      <c r="E38" s="3"/>
      <c r="F38" s="3"/>
      <c r="G38" s="3"/>
      <c r="H38" s="3"/>
      <c r="I38" s="3"/>
      <c r="J38" s="3"/>
      <c r="K38" s="4"/>
    </row>
    <row r="39" spans="1:11" ht="12.75">
      <c r="A39" s="1" t="s">
        <v>78</v>
      </c>
      <c r="D39" s="3"/>
      <c r="E39" s="3"/>
      <c r="F39" s="3"/>
      <c r="G39" s="3"/>
      <c r="H39" s="3"/>
      <c r="I39" s="3"/>
      <c r="J39" s="3"/>
      <c r="K39" s="4"/>
    </row>
    <row r="40" spans="4:11" ht="12.75">
      <c r="D40" s="3"/>
      <c r="E40" s="3"/>
      <c r="F40" s="3"/>
      <c r="G40" s="3"/>
      <c r="H40" s="3"/>
      <c r="I40" s="3"/>
      <c r="J40" s="3"/>
      <c r="K40" s="4"/>
    </row>
    <row r="41" spans="4:11" ht="12.75">
      <c r="D41" s="3"/>
      <c r="E41" s="3"/>
      <c r="F41" s="3"/>
      <c r="G41" s="3"/>
      <c r="H41" s="3"/>
      <c r="I41" s="3"/>
      <c r="J41" s="3"/>
      <c r="K41" s="4"/>
    </row>
    <row r="42" spans="4:11" ht="12.75">
      <c r="D42" s="3"/>
      <c r="E42" s="3"/>
      <c r="F42" s="3"/>
      <c r="G42" s="3"/>
      <c r="H42" s="3"/>
      <c r="I42" s="3"/>
      <c r="J42" s="3"/>
      <c r="K42" s="4"/>
    </row>
    <row r="43" spans="4:11" ht="12.75">
      <c r="D43" s="3"/>
      <c r="E43" s="3"/>
      <c r="F43" s="3"/>
      <c r="G43" s="3"/>
      <c r="H43" s="3"/>
      <c r="I43" s="3"/>
      <c r="J43" s="3"/>
      <c r="K43" s="4"/>
    </row>
    <row r="44" spans="4:11" ht="12.75">
      <c r="D44" s="3"/>
      <c r="E44" s="3"/>
      <c r="F44" s="3"/>
      <c r="G44" s="3"/>
      <c r="H44" s="3"/>
      <c r="I44" s="3"/>
      <c r="J44" s="3"/>
      <c r="K44" s="4"/>
    </row>
    <row r="45" spans="4:11" ht="12.75">
      <c r="D45" s="3"/>
      <c r="E45" s="3"/>
      <c r="F45" s="3"/>
      <c r="G45" s="3"/>
      <c r="H45" s="3"/>
      <c r="I45" s="3"/>
      <c r="J45" s="3"/>
      <c r="K45" s="4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">
      <selection activeCell="S57" sqref="S57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47" t="s">
        <v>296</v>
      </c>
    </row>
    <row r="3" ht="12.75">
      <c r="A3" s="10"/>
    </row>
    <row r="4" spans="1:8" ht="15.75">
      <c r="A4" s="10"/>
      <c r="C4" s="155" t="s">
        <v>314</v>
      </c>
      <c r="D4" s="161"/>
      <c r="E4" s="161"/>
      <c r="F4" s="161"/>
      <c r="G4" s="161"/>
      <c r="H4" s="161"/>
    </row>
    <row r="5" ht="12.75">
      <c r="A5" s="10"/>
    </row>
    <row r="6" spans="1:8" ht="12.75">
      <c r="A6" s="10"/>
      <c r="C6" s="156"/>
      <c r="D6" s="161"/>
      <c r="E6" s="161"/>
      <c r="F6" s="161"/>
      <c r="G6" s="161"/>
      <c r="H6" s="161"/>
    </row>
    <row r="7" spans="1:8" ht="12.75">
      <c r="A7" s="10"/>
      <c r="C7" s="156"/>
      <c r="D7" s="161"/>
      <c r="E7" s="161"/>
      <c r="F7" s="161"/>
      <c r="G7" s="161"/>
      <c r="H7" s="161"/>
    </row>
    <row r="8" ht="12.75">
      <c r="A8" s="10"/>
    </row>
    <row r="9" spans="1:8" ht="12.75">
      <c r="A9" s="10"/>
      <c r="C9" s="162">
        <v>2018</v>
      </c>
      <c r="D9" s="163"/>
      <c r="E9" s="163"/>
      <c r="F9" s="163"/>
      <c r="G9" s="163"/>
      <c r="H9" s="163"/>
    </row>
    <row r="10" ht="12.75">
      <c r="A10" s="10"/>
    </row>
    <row r="11" spans="1:7" ht="12.75">
      <c r="A11" s="10"/>
      <c r="B11" s="1" t="s">
        <v>100</v>
      </c>
      <c r="F11" s="14">
        <v>400</v>
      </c>
      <c r="G11" s="10" t="s">
        <v>90</v>
      </c>
    </row>
    <row r="12" spans="1:6" ht="12.75">
      <c r="A12" s="10"/>
      <c r="B12" s="1" t="s">
        <v>209</v>
      </c>
      <c r="D12" s="9">
        <v>40</v>
      </c>
      <c r="E12" s="1" t="s">
        <v>105</v>
      </c>
      <c r="F12" s="9">
        <v>40</v>
      </c>
    </row>
    <row r="13" spans="1:7" ht="12.75">
      <c r="A13" s="10"/>
      <c r="B13" s="1" t="s">
        <v>153</v>
      </c>
      <c r="G13" s="19">
        <v>0.065</v>
      </c>
    </row>
    <row r="14" spans="1:7" ht="12.75">
      <c r="A14" s="10"/>
      <c r="B14" s="1" t="s">
        <v>215</v>
      </c>
      <c r="G14" s="1">
        <v>0.015</v>
      </c>
    </row>
    <row r="15" spans="1:7" ht="12.75">
      <c r="A15" s="10"/>
      <c r="B15" s="1" t="s">
        <v>115</v>
      </c>
      <c r="G15" s="1">
        <v>120</v>
      </c>
    </row>
    <row r="16" ht="12.75">
      <c r="A16" s="10"/>
    </row>
    <row r="17" ht="12.75">
      <c r="A17" s="10"/>
    </row>
    <row r="18" spans="1:2" ht="12.75">
      <c r="A18" s="10"/>
      <c r="B18" s="9" t="s">
        <v>156</v>
      </c>
    </row>
    <row r="19" ht="12.75">
      <c r="A19" s="10"/>
    </row>
    <row r="20" spans="1:9" ht="12.75">
      <c r="A20" s="10"/>
      <c r="E20" s="3" t="s">
        <v>176</v>
      </c>
      <c r="F20" s="3" t="s">
        <v>258</v>
      </c>
      <c r="G20" s="3" t="s">
        <v>114</v>
      </c>
      <c r="H20" s="4" t="s">
        <v>152</v>
      </c>
      <c r="I20" s="4" t="s">
        <v>213</v>
      </c>
    </row>
    <row r="21" spans="1:9" ht="12.75">
      <c r="A21" s="10"/>
      <c r="B21" s="1" t="s">
        <v>188</v>
      </c>
      <c r="E21" s="2">
        <v>10300</v>
      </c>
      <c r="F21" s="2">
        <v>20</v>
      </c>
      <c r="G21" s="2">
        <f aca="true" t="shared" si="0" ref="G21:G27">E21/F21</f>
        <v>515</v>
      </c>
      <c r="H21" s="2">
        <f>(E21/2)*G13</f>
        <v>334.75</v>
      </c>
      <c r="I21" s="2">
        <f>(E21/2)*G14</f>
        <v>77.25</v>
      </c>
    </row>
    <row r="22" spans="1:9" ht="12.75">
      <c r="A22" s="10"/>
      <c r="B22" s="1" t="s">
        <v>269</v>
      </c>
      <c r="E22" s="2">
        <f>95*F11</f>
        <v>38000</v>
      </c>
      <c r="F22" s="2">
        <v>10</v>
      </c>
      <c r="G22" s="2">
        <f t="shared" si="0"/>
        <v>3800</v>
      </c>
      <c r="H22" s="2">
        <f>(E22/2)*G13</f>
        <v>1235</v>
      </c>
      <c r="I22" s="2">
        <f>(E22/2)*G14</f>
        <v>285</v>
      </c>
    </row>
    <row r="23" spans="1:9" ht="12.75">
      <c r="A23" s="10"/>
      <c r="B23" s="1" t="s">
        <v>270</v>
      </c>
      <c r="E23" s="2">
        <f>IF(F11*2&lt;40,4*3*G15,IF(F11*2&lt;175,6*3*G15,IF(F11*2&lt;=600,8*3*G15,12*3*G15)))</f>
        <v>4320</v>
      </c>
      <c r="F23" s="2">
        <v>25</v>
      </c>
      <c r="G23" s="2">
        <f t="shared" si="0"/>
        <v>172.8</v>
      </c>
      <c r="H23" s="2">
        <f>(E23/2)*G13</f>
        <v>140.4</v>
      </c>
      <c r="I23" s="2">
        <f>(E23/2)*G14</f>
        <v>32.4</v>
      </c>
    </row>
    <row r="24" spans="1:9" ht="12.75">
      <c r="A24" s="10"/>
      <c r="B24" s="1" t="s">
        <v>271</v>
      </c>
      <c r="E24" s="2">
        <f>IF(G37=10,1800,IF(G37=20,3500,IF(G37=40,6000,11000)))</f>
        <v>11000</v>
      </c>
      <c r="F24" s="2">
        <v>15</v>
      </c>
      <c r="G24" s="2">
        <f t="shared" si="0"/>
        <v>733.3333333333334</v>
      </c>
      <c r="H24" s="2">
        <f>(E24/2)*G13</f>
        <v>357.5</v>
      </c>
      <c r="I24" s="2">
        <f>(E24/2)*G14</f>
        <v>82.5</v>
      </c>
    </row>
    <row r="25" spans="1:9" ht="12.75">
      <c r="A25" s="10"/>
      <c r="B25" s="1" t="s">
        <v>272</v>
      </c>
      <c r="E25" s="2">
        <f>26*F11</f>
        <v>10400</v>
      </c>
      <c r="F25" s="2">
        <v>10</v>
      </c>
      <c r="G25" s="2">
        <f t="shared" si="0"/>
        <v>1040</v>
      </c>
      <c r="H25" s="2">
        <f>(E25/2)*G13</f>
        <v>338</v>
      </c>
      <c r="I25" s="2">
        <f>(E25/2)*G14</f>
        <v>78</v>
      </c>
    </row>
    <row r="26" spans="1:9" ht="12.75">
      <c r="A26" s="10"/>
      <c r="B26" s="1" t="s">
        <v>273</v>
      </c>
      <c r="E26" s="2">
        <f>SUM(E21:E25)*0.03</f>
        <v>2220.6</v>
      </c>
      <c r="F26" s="2">
        <v>20</v>
      </c>
      <c r="G26" s="2">
        <f t="shared" si="0"/>
        <v>111.03</v>
      </c>
      <c r="H26" s="2">
        <f>(E26/2)*G13</f>
        <v>72.1695</v>
      </c>
      <c r="I26" s="2">
        <f>(E26/2)*G14</f>
        <v>16.6545</v>
      </c>
    </row>
    <row r="27" spans="1:9" ht="12.75">
      <c r="A27" s="10"/>
      <c r="B27" s="1" t="s">
        <v>274</v>
      </c>
      <c r="E27" s="2">
        <v>40000</v>
      </c>
      <c r="F27" s="2">
        <v>20</v>
      </c>
      <c r="G27" s="2">
        <f t="shared" si="0"/>
        <v>2000</v>
      </c>
      <c r="H27" s="2">
        <f>(E27/2)*G13</f>
        <v>1300</v>
      </c>
      <c r="I27" s="2">
        <f>(E27/2)*G14</f>
        <v>300</v>
      </c>
    </row>
    <row r="28" spans="1:9" ht="13.5" thickBot="1">
      <c r="A28" s="10"/>
      <c r="B28" s="9" t="s">
        <v>232</v>
      </c>
      <c r="E28" s="38">
        <f>SUM(E21:E27)</f>
        <v>116240.6</v>
      </c>
      <c r="F28" s="3"/>
      <c r="G28" s="60">
        <f>SUM(G21:G27)</f>
        <v>8372.163333333334</v>
      </c>
      <c r="H28" s="60">
        <f>SUM(H21:H27)</f>
        <v>3777.8195</v>
      </c>
      <c r="I28" s="60">
        <f>SUM(I21:I27)</f>
        <v>871.8045</v>
      </c>
    </row>
    <row r="29" spans="1:9" ht="13.5" thickTop="1">
      <c r="A29" s="10"/>
      <c r="E29" s="40"/>
      <c r="F29" s="3"/>
      <c r="G29" s="40"/>
      <c r="H29" s="40"/>
      <c r="I29" s="40"/>
    </row>
    <row r="30" spans="1:9" ht="13.5" thickBot="1">
      <c r="A30" s="10"/>
      <c r="B30" s="9" t="s">
        <v>225</v>
      </c>
      <c r="E30" s="3"/>
      <c r="F30" s="3"/>
      <c r="G30" s="3"/>
      <c r="H30" s="3"/>
      <c r="I30" s="38">
        <f>G28+H28+I28</f>
        <v>13021.787333333334</v>
      </c>
    </row>
    <row r="31" spans="1:9" ht="13.5" thickTop="1">
      <c r="A31" s="10"/>
      <c r="E31" s="3"/>
      <c r="F31" s="3"/>
      <c r="G31" s="3"/>
      <c r="H31" s="3"/>
      <c r="I31" s="40"/>
    </row>
    <row r="32" spans="1:9" ht="13.5" thickBot="1">
      <c r="A32" s="10"/>
      <c r="B32" s="9" t="s">
        <v>96</v>
      </c>
      <c r="E32" s="3"/>
      <c r="F32" s="3"/>
      <c r="G32" s="3"/>
      <c r="H32" s="3"/>
      <c r="I32" s="37">
        <f>I30/F11</f>
        <v>32.55446833333333</v>
      </c>
    </row>
    <row r="33" spans="1:9" ht="13.5" thickTop="1">
      <c r="A33" s="10"/>
      <c r="E33" s="3"/>
      <c r="F33" s="3"/>
      <c r="G33" s="3"/>
      <c r="H33" s="3"/>
      <c r="I33" s="40"/>
    </row>
    <row r="34" spans="1:9" ht="12.75">
      <c r="A34" s="10"/>
      <c r="E34" s="3"/>
      <c r="F34" s="3"/>
      <c r="G34" s="3"/>
      <c r="H34" s="3"/>
      <c r="I34" s="3"/>
    </row>
    <row r="35" spans="1:9" ht="12.75">
      <c r="A35" s="10"/>
      <c r="B35" s="9" t="s">
        <v>179</v>
      </c>
      <c r="E35" s="3"/>
      <c r="F35" s="3"/>
      <c r="G35" s="3"/>
      <c r="H35" s="3"/>
      <c r="I35" s="3"/>
    </row>
    <row r="36" spans="1:9" ht="12.75">
      <c r="A36" s="10"/>
      <c r="E36" s="3"/>
      <c r="F36" s="3"/>
      <c r="G36" s="3"/>
      <c r="H36" s="3"/>
      <c r="I36" s="3"/>
    </row>
    <row r="37" spans="1:9" ht="12.75">
      <c r="A37" s="10"/>
      <c r="B37" s="1" t="s">
        <v>173</v>
      </c>
      <c r="E37" s="3"/>
      <c r="F37" s="3"/>
      <c r="G37" s="2">
        <v>7.5</v>
      </c>
      <c r="H37" s="3"/>
      <c r="I37" s="3"/>
    </row>
    <row r="38" spans="1:9" ht="12.75">
      <c r="A38" s="10"/>
      <c r="B38" s="1" t="s">
        <v>202</v>
      </c>
      <c r="E38" s="3"/>
      <c r="F38" s="3"/>
      <c r="G38" s="2">
        <f>(E28-E26-E27)*0.005+25+(E22*0.12)</f>
        <v>4955.1</v>
      </c>
      <c r="H38" s="3"/>
      <c r="I38" s="3"/>
    </row>
    <row r="39" spans="1:9" ht="12.75">
      <c r="A39" s="10"/>
      <c r="B39" s="1" t="s">
        <v>97</v>
      </c>
      <c r="E39" s="3"/>
      <c r="F39" s="3"/>
      <c r="G39" s="2">
        <v>1820</v>
      </c>
      <c r="H39" s="3"/>
      <c r="I39" s="3"/>
    </row>
    <row r="40" spans="1:9" ht="12.75">
      <c r="A40" s="10"/>
      <c r="B40" s="1" t="s">
        <v>117</v>
      </c>
      <c r="E40" s="3"/>
      <c r="F40" s="3"/>
      <c r="G40" s="2"/>
      <c r="H40" s="3"/>
      <c r="I40" s="3"/>
    </row>
    <row r="41" spans="1:9" ht="12.75">
      <c r="A41" s="10"/>
      <c r="B41" s="1" t="s">
        <v>9</v>
      </c>
      <c r="E41" s="3"/>
      <c r="F41" s="3"/>
      <c r="G41" s="2">
        <f>G37*12</f>
        <v>90</v>
      </c>
      <c r="H41" s="3"/>
      <c r="I41" s="3"/>
    </row>
    <row r="42" spans="1:9" ht="12.75">
      <c r="A42" s="10"/>
      <c r="B42" s="1" t="s">
        <v>30</v>
      </c>
      <c r="E42" s="3"/>
      <c r="F42" s="3"/>
      <c r="G42" s="4">
        <v>0.08</v>
      </c>
      <c r="H42" s="3"/>
      <c r="I42" s="3"/>
    </row>
    <row r="43" spans="1:9" ht="12.75">
      <c r="A43" s="10"/>
      <c r="B43" s="1" t="s">
        <v>94</v>
      </c>
      <c r="E43" s="3"/>
      <c r="F43" s="3"/>
      <c r="G43" s="2">
        <f>(G37*0.746*G42*G39)+G41</f>
        <v>904.632</v>
      </c>
      <c r="H43" s="3"/>
      <c r="I43" s="3"/>
    </row>
    <row r="44" spans="1:9" ht="12.75">
      <c r="A44" s="10"/>
      <c r="B44" s="1" t="s">
        <v>95</v>
      </c>
      <c r="E44" s="3"/>
      <c r="F44" s="3"/>
      <c r="G44" s="3"/>
      <c r="H44" s="3"/>
      <c r="I44" s="4">
        <f>G43/F11</f>
        <v>2.26158</v>
      </c>
    </row>
    <row r="45" spans="1:9" ht="13.5" thickBot="1">
      <c r="A45" s="10"/>
      <c r="B45" s="9" t="s">
        <v>178</v>
      </c>
      <c r="E45" s="3"/>
      <c r="F45" s="3"/>
      <c r="G45" s="3"/>
      <c r="H45" s="3"/>
      <c r="I45" s="37">
        <f>(G38+G43)/F11</f>
        <v>14.649329999999999</v>
      </c>
    </row>
    <row r="46" spans="1:9" ht="13.5" thickTop="1">
      <c r="A46" s="10"/>
      <c r="E46" s="3"/>
      <c r="F46" s="3"/>
      <c r="G46" s="3"/>
      <c r="H46" s="3"/>
      <c r="I46" s="40"/>
    </row>
    <row r="47" spans="1:9" ht="12.75">
      <c r="A47" s="10"/>
      <c r="E47" s="3"/>
      <c r="F47" s="3"/>
      <c r="G47" s="3"/>
      <c r="H47" s="3"/>
      <c r="I47" s="3"/>
    </row>
    <row r="48" spans="1:9" ht="13.5" thickBot="1">
      <c r="A48" s="10"/>
      <c r="B48" s="9" t="s">
        <v>224</v>
      </c>
      <c r="E48" s="3"/>
      <c r="F48" s="3"/>
      <c r="G48" s="3"/>
      <c r="H48" s="3"/>
      <c r="I48" s="37">
        <f>I32+I45</f>
        <v>47.20379833333333</v>
      </c>
    </row>
    <row r="49" spans="1:9" ht="13.5" thickTop="1">
      <c r="A49" s="10"/>
      <c r="E49" s="3"/>
      <c r="F49" s="3"/>
      <c r="G49" s="3"/>
      <c r="H49" s="3"/>
      <c r="I49" s="40"/>
    </row>
    <row r="50" spans="1:9" ht="12.75">
      <c r="A50" s="10"/>
      <c r="E50" s="3"/>
      <c r="F50" s="3"/>
      <c r="G50" s="3"/>
      <c r="H50" s="3"/>
      <c r="I50" s="3"/>
    </row>
    <row r="51" spans="1:9" ht="12.75">
      <c r="A51" s="10"/>
      <c r="E51" s="3"/>
      <c r="F51" s="3"/>
      <c r="G51" s="3"/>
      <c r="H51" s="3"/>
      <c r="I51" s="3"/>
    </row>
    <row r="52" spans="1:9" ht="12.75">
      <c r="A52" s="10"/>
      <c r="E52" s="3"/>
      <c r="F52" s="3"/>
      <c r="G52" s="3"/>
      <c r="H52" s="3"/>
      <c r="I52" s="3"/>
    </row>
    <row r="53" spans="1:9" ht="12.75">
      <c r="A53" s="10"/>
      <c r="E53" s="3"/>
      <c r="F53" s="3"/>
      <c r="G53" s="3"/>
      <c r="H53" s="3"/>
      <c r="I53" s="3"/>
    </row>
    <row r="54" spans="1:9" ht="12.75">
      <c r="A54" s="10" t="s">
        <v>78</v>
      </c>
      <c r="E54" s="3"/>
      <c r="F54" s="3"/>
      <c r="G54" s="3"/>
      <c r="H54" s="3"/>
      <c r="I54" s="3"/>
    </row>
    <row r="55" spans="1:9" ht="12.75">
      <c r="A55" s="10"/>
      <c r="E55" s="3"/>
      <c r="F55" s="3"/>
      <c r="G55" s="3"/>
      <c r="H55" s="3"/>
      <c r="I55" s="3"/>
    </row>
    <row r="56" spans="1:9" ht="12.75">
      <c r="A56" s="10"/>
      <c r="E56" s="3"/>
      <c r="F56" s="3"/>
      <c r="G56" s="3"/>
      <c r="H56" s="3"/>
      <c r="I56" s="3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="88" zoomScaleNormal="88" zoomScalePageLayoutView="0" workbookViewId="0" topLeftCell="A1">
      <selection activeCell="M37" sqref="M37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158" t="s">
        <v>183</v>
      </c>
      <c r="E4" s="157"/>
      <c r="F4" s="157"/>
    </row>
    <row r="6" ht="12.75">
      <c r="C6" s="9" t="s">
        <v>218</v>
      </c>
    </row>
    <row r="8" spans="2:8" ht="12.75">
      <c r="B8" s="3"/>
      <c r="C8" s="3"/>
      <c r="D8" s="3"/>
      <c r="E8" s="3"/>
      <c r="F8" s="3" t="s">
        <v>204</v>
      </c>
      <c r="G8" s="3"/>
      <c r="H8" s="3" t="s">
        <v>204</v>
      </c>
    </row>
    <row r="9" spans="2:8" ht="12.75">
      <c r="B9" s="3" t="s">
        <v>254</v>
      </c>
      <c r="C9" s="3" t="s">
        <v>255</v>
      </c>
      <c r="D9" s="3" t="s">
        <v>193</v>
      </c>
      <c r="E9" s="3" t="s">
        <v>248</v>
      </c>
      <c r="F9" s="3" t="s">
        <v>248</v>
      </c>
      <c r="G9" s="3" t="s">
        <v>226</v>
      </c>
      <c r="H9" s="3" t="s">
        <v>226</v>
      </c>
    </row>
    <row r="11" spans="2:8" ht="12.75">
      <c r="B11" s="3">
        <v>1</v>
      </c>
      <c r="C11" s="3">
        <v>0</v>
      </c>
      <c r="D11" s="8">
        <v>2</v>
      </c>
      <c r="E11" s="4">
        <f>Yr1!H32</f>
        <v>1580.5711581148184</v>
      </c>
      <c r="F11" s="4">
        <f aca="true" t="shared" si="0" ref="F11:F25">(C11*D11)-E11</f>
        <v>-1580.5711581148184</v>
      </c>
      <c r="G11" s="4">
        <f>Yr1!H32</f>
        <v>1580.5711581148184</v>
      </c>
      <c r="H11" s="4">
        <f aca="true" t="shared" si="1" ref="H11:H25">(C11*D11)-G11</f>
        <v>-1580.5711581148184</v>
      </c>
    </row>
    <row r="12" spans="2:8" ht="12.75">
      <c r="B12" s="3">
        <v>2</v>
      </c>
      <c r="C12" s="3">
        <v>0</v>
      </c>
      <c r="D12" s="8">
        <v>2.3</v>
      </c>
      <c r="E12" s="4">
        <f>Yr2!H$33</f>
        <v>1709.0942858333333</v>
      </c>
      <c r="F12" s="4">
        <f t="shared" si="0"/>
        <v>-1709.0942858333333</v>
      </c>
      <c r="G12" s="4">
        <f>Yr2!H33</f>
        <v>1709.0942858333333</v>
      </c>
      <c r="H12" s="4">
        <f t="shared" si="1"/>
        <v>-1709.0942858333333</v>
      </c>
    </row>
    <row r="13" spans="2:8" ht="12.75">
      <c r="B13" s="3">
        <v>3</v>
      </c>
      <c r="C13" s="3">
        <v>0</v>
      </c>
      <c r="D13" s="8">
        <v>2.5</v>
      </c>
      <c r="E13" s="4">
        <f>Yr2!H$33</f>
        <v>1709.0942858333333</v>
      </c>
      <c r="F13" s="4">
        <f t="shared" si="0"/>
        <v>-1709.0942858333333</v>
      </c>
      <c r="G13" s="4">
        <f>Yr2!H33</f>
        <v>1709.0942858333333</v>
      </c>
      <c r="H13" s="4">
        <f t="shared" si="1"/>
        <v>-1709.0942858333333</v>
      </c>
    </row>
    <row r="14" spans="2:8" ht="12.75">
      <c r="B14" s="3">
        <v>4</v>
      </c>
      <c r="C14" s="3">
        <v>0</v>
      </c>
      <c r="D14" s="8">
        <v>2.75</v>
      </c>
      <c r="E14" s="4">
        <f>Yr2!H$33</f>
        <v>1709.0942858333333</v>
      </c>
      <c r="F14" s="4">
        <f t="shared" si="0"/>
        <v>-1709.0942858333333</v>
      </c>
      <c r="G14" s="4">
        <f>Yr2!H33</f>
        <v>1709.0942858333333</v>
      </c>
      <c r="H14" s="4">
        <f t="shared" si="1"/>
        <v>-1709.0942858333333</v>
      </c>
    </row>
    <row r="15" spans="2:8" ht="12.75">
      <c r="B15" s="3">
        <v>5</v>
      </c>
      <c r="C15" s="3">
        <v>0</v>
      </c>
      <c r="D15" s="8">
        <v>2.75</v>
      </c>
      <c r="E15" s="4">
        <f>Yr3!H$36</f>
        <v>1607.6212183333332</v>
      </c>
      <c r="F15" s="4">
        <f t="shared" si="0"/>
        <v>-1607.6212183333332</v>
      </c>
      <c r="G15" s="4">
        <f>Yr3!H36</f>
        <v>1607.6212183333332</v>
      </c>
      <c r="H15" s="4">
        <f t="shared" si="1"/>
        <v>-1607.6212183333332</v>
      </c>
    </row>
    <row r="16" spans="2:8" ht="12.75">
      <c r="B16" s="3">
        <v>6</v>
      </c>
      <c r="C16" s="3">
        <v>0</v>
      </c>
      <c r="D16" s="8">
        <v>2.75</v>
      </c>
      <c r="E16" s="4">
        <f>Yr3!H$36</f>
        <v>1607.6212183333332</v>
      </c>
      <c r="F16" s="4">
        <f t="shared" si="0"/>
        <v>-1607.6212183333332</v>
      </c>
      <c r="G16" s="4">
        <f>Yr3!H36</f>
        <v>1607.6212183333332</v>
      </c>
      <c r="H16" s="4">
        <f t="shared" si="1"/>
        <v>-1607.6212183333332</v>
      </c>
    </row>
    <row r="17" spans="2:8" ht="12.75">
      <c r="B17" s="3">
        <v>7</v>
      </c>
      <c r="C17" s="3">
        <v>0</v>
      </c>
      <c r="D17" s="8">
        <v>2.75</v>
      </c>
      <c r="E17" s="4">
        <f>Yr3!H$36</f>
        <v>1607.6212183333332</v>
      </c>
      <c r="F17" s="4">
        <f t="shared" si="0"/>
        <v>-1607.6212183333332</v>
      </c>
      <c r="G17" s="4">
        <f>Yr3!H36</f>
        <v>1607.6212183333332</v>
      </c>
      <c r="H17" s="4">
        <f t="shared" si="1"/>
        <v>-1607.6212183333332</v>
      </c>
    </row>
    <row r="18" spans="2:8" ht="12.75">
      <c r="B18" s="3">
        <v>8</v>
      </c>
      <c r="C18" s="3">
        <v>1000</v>
      </c>
      <c r="D18" s="8">
        <v>3</v>
      </c>
      <c r="E18" s="4">
        <f>Bud!I$50</f>
        <v>1424.9</v>
      </c>
      <c r="F18" s="4">
        <f t="shared" si="0"/>
        <v>1575.1</v>
      </c>
      <c r="G18" s="4">
        <f>Yr3!H36+(C18*0.13)</f>
        <v>1737.6212183333332</v>
      </c>
      <c r="H18" s="4">
        <f t="shared" si="1"/>
        <v>1262.3787816666668</v>
      </c>
    </row>
    <row r="19" spans="2:8" ht="12.75">
      <c r="B19" s="3">
        <v>9</v>
      </c>
      <c r="C19" s="3">
        <v>1100</v>
      </c>
      <c r="D19" s="8">
        <v>3</v>
      </c>
      <c r="E19" s="4">
        <f>Bud!I$50</f>
        <v>1424.9</v>
      </c>
      <c r="F19" s="4">
        <f t="shared" si="0"/>
        <v>1875.1</v>
      </c>
      <c r="G19" s="4">
        <f>Yr3!H36+(C19*0.13)</f>
        <v>1750.6212183333332</v>
      </c>
      <c r="H19" s="4">
        <f t="shared" si="1"/>
        <v>1549.3787816666668</v>
      </c>
    </row>
    <row r="20" spans="2:9" ht="12.75">
      <c r="B20" s="3">
        <v>10</v>
      </c>
      <c r="C20" s="3">
        <v>1200</v>
      </c>
      <c r="D20" s="8">
        <v>3</v>
      </c>
      <c r="E20" s="4">
        <f>Bud!I$50</f>
        <v>1424.9</v>
      </c>
      <c r="F20" s="4">
        <f t="shared" si="0"/>
        <v>2175.1</v>
      </c>
      <c r="G20" s="4">
        <f>Bud!I39+Bud!I57+(C20*0.13)</f>
        <v>1592.0366733333333</v>
      </c>
      <c r="H20" s="4">
        <f t="shared" si="1"/>
        <v>2007.9633266666667</v>
      </c>
      <c r="I20" s="9" t="s">
        <v>75</v>
      </c>
    </row>
    <row r="21" spans="2:8" ht="12.75">
      <c r="B21" s="3">
        <v>11</v>
      </c>
      <c r="C21" s="3">
        <v>1300</v>
      </c>
      <c r="D21" s="8">
        <v>2.95</v>
      </c>
      <c r="E21" s="4">
        <f>Bud!I$50</f>
        <v>1424.9</v>
      </c>
      <c r="F21" s="4">
        <f t="shared" si="0"/>
        <v>2410.1000000000004</v>
      </c>
      <c r="G21" s="4">
        <f>Bud!I39+Bud!I57+(C21*0.13)</f>
        <v>1605.0366733333333</v>
      </c>
      <c r="H21" s="4">
        <f t="shared" si="1"/>
        <v>2229.963326666667</v>
      </c>
    </row>
    <row r="22" spans="2:8" ht="12.75">
      <c r="B22" s="3">
        <v>12</v>
      </c>
      <c r="C22" s="3">
        <v>1400</v>
      </c>
      <c r="D22" s="8">
        <v>2.85</v>
      </c>
      <c r="E22" s="4">
        <f>Bud!I$50</f>
        <v>1424.9</v>
      </c>
      <c r="F22" s="4">
        <f t="shared" si="0"/>
        <v>2565.1</v>
      </c>
      <c r="G22" s="4">
        <f>Bud!I39+Bud!I57+(C22*0.13)</f>
        <v>1618.0366733333333</v>
      </c>
      <c r="H22" s="4">
        <f t="shared" si="1"/>
        <v>2371.963326666667</v>
      </c>
    </row>
    <row r="23" spans="2:8" ht="12.75">
      <c r="B23" s="3">
        <v>13</v>
      </c>
      <c r="C23" s="3">
        <v>1500</v>
      </c>
      <c r="D23" s="8">
        <v>2.75</v>
      </c>
      <c r="E23" s="4">
        <f>Bud!I$50</f>
        <v>1424.9</v>
      </c>
      <c r="F23" s="4">
        <f t="shared" si="0"/>
        <v>2700.1</v>
      </c>
      <c r="G23" s="4">
        <f>Bud!I39+Bud!I57+(C23*0.13)</f>
        <v>1631.0366733333333</v>
      </c>
      <c r="H23" s="4">
        <f t="shared" si="1"/>
        <v>2493.963326666667</v>
      </c>
    </row>
    <row r="24" spans="2:8" ht="12.75">
      <c r="B24" s="3">
        <v>14</v>
      </c>
      <c r="C24" s="3">
        <v>1500</v>
      </c>
      <c r="D24" s="8">
        <v>2.65</v>
      </c>
      <c r="E24" s="4">
        <f>Bud!I$50</f>
        <v>1424.9</v>
      </c>
      <c r="F24" s="4">
        <f t="shared" si="0"/>
        <v>2550.1</v>
      </c>
      <c r="G24" s="4">
        <f>Bud!I39+Bud!I57+(C24*0.13)</f>
        <v>1631.0366733333333</v>
      </c>
      <c r="H24" s="4">
        <f t="shared" si="1"/>
        <v>2343.963326666667</v>
      </c>
    </row>
    <row r="25" spans="2:8" ht="12.75">
      <c r="B25" s="3">
        <v>15</v>
      </c>
      <c r="C25" s="3">
        <v>1600</v>
      </c>
      <c r="D25" s="8">
        <v>2.55</v>
      </c>
      <c r="E25" s="4">
        <f>Bud!I$50</f>
        <v>1424.9</v>
      </c>
      <c r="F25" s="4">
        <f t="shared" si="0"/>
        <v>2655.0999999999995</v>
      </c>
      <c r="G25" s="4">
        <f>Bud!I39+Bud!I57+(C25*0.13)</f>
        <v>1644.0366733333333</v>
      </c>
      <c r="H25" s="4">
        <f t="shared" si="1"/>
        <v>2435.963326666666</v>
      </c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9" t="s">
        <v>75</v>
      </c>
      <c r="D27" s="3" t="s">
        <v>219</v>
      </c>
      <c r="E27" s="3"/>
      <c r="F27" s="3"/>
      <c r="G27" s="3"/>
      <c r="H27" s="3"/>
    </row>
    <row r="28" spans="2:8" ht="12.75">
      <c r="B28" s="3"/>
      <c r="C28" s="3"/>
      <c r="D28" s="3" t="s">
        <v>147</v>
      </c>
      <c r="E28" s="3"/>
      <c r="F28" s="3"/>
      <c r="G28" s="3"/>
      <c r="H28" s="3"/>
    </row>
    <row r="30" ht="12.75">
      <c r="C30" s="1" t="s">
        <v>78</v>
      </c>
    </row>
    <row r="31" ht="12.75">
      <c r="B31" s="1" t="s">
        <v>78</v>
      </c>
    </row>
    <row r="34" ht="12.75"/>
    <row r="35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2020-02-25T13:11:54Z</cp:lastPrinted>
  <dcterms:created xsi:type="dcterms:W3CDTF">2017-01-27T13:31:33Z</dcterms:created>
  <dcterms:modified xsi:type="dcterms:W3CDTF">2020-02-25T13:12:02Z</dcterms:modified>
  <cp:category/>
  <cp:version/>
  <cp:contentType/>
  <cp:contentStatus/>
</cp:coreProperties>
</file>