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Bud" sheetId="1" r:id="rId1"/>
    <sheet name="Yr1" sheetId="2" r:id="rId2"/>
    <sheet name="Yr2" sheetId="3" r:id="rId3"/>
    <sheet name="Yr3" sheetId="4" r:id="rId4"/>
    <sheet name="Chem" sheetId="5" r:id="rId5"/>
    <sheet name="Mach" sheetId="6" r:id="rId6"/>
    <sheet name="FxdCost" sheetId="7" r:id="rId7"/>
    <sheet name="Drip" sheetId="8" r:id="rId8"/>
    <sheet name="Returns" sheetId="9" r:id="rId9"/>
    <sheet name="N" sheetId="10" r:id="rId10"/>
  </sheets>
  <definedNames>
    <definedName name="\AUTOEXEC">'Bud'!$U$141:$U$143</definedName>
    <definedName name="\C">'Bud'!$I$136:$I$176</definedName>
    <definedName name="\FLOW">'N'!$E$1:$E$4</definedName>
    <definedName name="\T">'Bud'!$C$136:$C$176</definedName>
    <definedName name="\TOTAL">'N'!$B$1:$B$4</definedName>
    <definedName name="\V">'Bud'!$O$141:$O$181</definedName>
    <definedName name="\VARIABLE">'N'!$H$1:$H$4</definedName>
    <definedName name="\X">'Bud'!$F$136:$F$176</definedName>
    <definedName name="\Y">'Bud'!$L$141:$L$181</definedName>
    <definedName name="\Z">'Bud'!$R$141:$R$181</definedName>
    <definedName name="ENR">'Bud'!$O$97:$O$97</definedName>
    <definedName name="ENR_MNR">'Bud'!$O$97:$O$97</definedName>
    <definedName name="ETR">'Bud'!$M$96:$M$96</definedName>
    <definedName name="EXPP">'Bud'!$O$78:$O$78</definedName>
    <definedName name="EXPY">'Bud'!$M$78:$M$78</definedName>
    <definedName name="MEDP">'Bud'!$G$19:$G$19</definedName>
    <definedName name="MEDY">'Bud'!$G$18:$G$18</definedName>
    <definedName name="MNR">'Bud'!$M$98:$M$98</definedName>
    <definedName name="MTC">'Bud'!$O$96:$O$96</definedName>
    <definedName name="MTCV">'Bud'!$O$96:$O$96</definedName>
    <definedName name="MTR">'Bud'!$M$97:$M$97</definedName>
    <definedName name="STRHH">'Bud'!$M$92:$M$92</definedName>
    <definedName name="STRHL">'Bud'!$M$93:$M$93</definedName>
    <definedName name="STRLH">'Bud'!$O$93:$O$93</definedName>
    <definedName name="STRLL">'Bud'!$O$92:$O$92</definedName>
    <definedName name="STRO">'Bud'!$M$94:$M$94</definedName>
    <definedName name="STRP">'Bud'!$O$94:$O$94</definedName>
    <definedName name="UNIT">'Bud'!$I$13:$I$13</definedName>
    <definedName name="UNITCOST">'Bud'!$I$59:$I$59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<sst xmlns="http://schemas.openxmlformats.org/spreadsheetml/2006/main" count="676" uniqueCount="345">
  <si>
    <t/>
  </si>
  <si>
    <t>-</t>
  </si>
  <si>
    <t xml:space="preserve"> </t>
  </si>
  <si>
    <t xml:space="preserve">    Must match budget Entries</t>
  </si>
  <si>
    <t xml:space="preserve">   Air Blast</t>
  </si>
  <si>
    <t xml:space="preserve">   Herbicide</t>
  </si>
  <si>
    <t xml:space="preserve">  ACRES</t>
  </si>
  <si>
    <t xml:space="preserve">  Best P</t>
  </si>
  <si>
    <t xml:space="preserve">  Best Y</t>
  </si>
  <si>
    <t xml:space="preserve">  Demand (standby charge) per YEAR</t>
  </si>
  <si>
    <t xml:space="preserve">  ENR</t>
  </si>
  <si>
    <t xml:space="preserve">  ENR-MNR</t>
  </si>
  <si>
    <t xml:space="preserve">  ETR</t>
  </si>
  <si>
    <t xml:space="preserve">  Exp. P</t>
  </si>
  <si>
    <t xml:space="preserve">  Exp. Y</t>
  </si>
  <si>
    <t xml:space="preserve">  Expected</t>
  </si>
  <si>
    <t xml:space="preserve">  H&amp;MC</t>
  </si>
  <si>
    <t xml:space="preserve">  Med. P</t>
  </si>
  <si>
    <t xml:space="preserve">  Med. Y</t>
  </si>
  <si>
    <t xml:space="preserve">  MNR</t>
  </si>
  <si>
    <t xml:space="preserve">  MP</t>
  </si>
  <si>
    <t xml:space="preserve">  MTC</t>
  </si>
  <si>
    <t xml:space="preserve">  MTR</t>
  </si>
  <si>
    <t xml:space="preserve">  MY</t>
  </si>
  <si>
    <t xml:space="preserve">  Opt. P</t>
  </si>
  <si>
    <t xml:space="preserve">  Opt. Y</t>
  </si>
  <si>
    <t xml:space="preserve">  Optimistic</t>
  </si>
  <si>
    <t xml:space="preserve">  Pess. P</t>
  </si>
  <si>
    <t xml:space="preserve">  Pess. Y</t>
  </si>
  <si>
    <t xml:space="preserve">  Pessimistic</t>
  </si>
  <si>
    <t xml:space="preserve">  Rate $ per KWH</t>
  </si>
  <si>
    <t xml:space="preserve">  SPO</t>
  </si>
  <si>
    <t xml:space="preserve">  SPP</t>
  </si>
  <si>
    <t xml:space="preserve">  STRHH</t>
  </si>
  <si>
    <t xml:space="preserve">  STRHL</t>
  </si>
  <si>
    <t xml:space="preserve">  STRLH</t>
  </si>
  <si>
    <t xml:space="preserve">  STRLL</t>
  </si>
  <si>
    <t xml:space="preserve">  STRO</t>
  </si>
  <si>
    <t xml:space="preserve">  STRP</t>
  </si>
  <si>
    <t xml:space="preserve">  SYO</t>
  </si>
  <si>
    <t xml:space="preserve">  SYP</t>
  </si>
  <si>
    <t xml:space="preserve">  T.C.</t>
  </si>
  <si>
    <t xml:space="preserve">  VPO</t>
  </si>
  <si>
    <t xml:space="preserve">  VPP</t>
  </si>
  <si>
    <t xml:space="preserve">  VTRHH</t>
  </si>
  <si>
    <t xml:space="preserve">  VTRHL</t>
  </si>
  <si>
    <t xml:space="preserve">  VTRLH</t>
  </si>
  <si>
    <t xml:space="preserve">  VTRLL</t>
  </si>
  <si>
    <t xml:space="preserve">  VYO</t>
  </si>
  <si>
    <t xml:space="preserve">  VYP</t>
  </si>
  <si>
    <t xml:space="preserve">  Worst P</t>
  </si>
  <si>
    <t xml:space="preserve">  Worst Y</t>
  </si>
  <si>
    <t xml:space="preserve"> Fuel</t>
  </si>
  <si>
    <t xml:space="preserve"> Harvest</t>
  </si>
  <si>
    <t xml:space="preserve"> Haul</t>
  </si>
  <si>
    <t xml:space="preserve"> Item</t>
  </si>
  <si>
    <t xml:space="preserve"> Operation</t>
  </si>
  <si>
    <t xml:space="preserve"> Rep &amp; maint.+ irrigation</t>
  </si>
  <si>
    <t xml:space="preserve"> Repair &amp; Maintenance</t>
  </si>
  <si>
    <t xml:space="preserve"> Rotary Mower</t>
  </si>
  <si>
    <t xml:space="preserve"> Shake</t>
  </si>
  <si>
    <t xml:space="preserve"> Sprayer:</t>
  </si>
  <si>
    <t xml:space="preserve"> Sweep</t>
  </si>
  <si>
    <t>$</t>
  </si>
  <si>
    <t>$Amt/ac</t>
  </si>
  <si>
    <t>%</t>
  </si>
  <si>
    <t>($)</t>
  </si>
  <si>
    <t>(ft.)</t>
  </si>
  <si>
    <t>(Gal.)</t>
  </si>
  <si>
    <t>(Hr.)</t>
  </si>
  <si>
    <t>(mph)</t>
  </si>
  <si>
    <t>*</t>
  </si>
  <si>
    <t>* These prices are for new equipments.  Used equipments could be purchased.</t>
  </si>
  <si>
    <t>****</t>
  </si>
  <si>
    <t>**Only one sweeper is required for 100 acres or less.</t>
  </si>
  <si>
    <t>*Returns($)</t>
  </si>
  <si>
    <t>:</t>
  </si>
  <si>
    <t>::</t>
  </si>
  <si>
    <t>{EditGoto Bud:a1}</t>
  </si>
  <si>
    <t>{PUTBLOCK "Cash Flow Budget",Bud:e14}</t>
  </si>
  <si>
    <t>{PUTBLOCK "FIXED COST",Bud:b53}</t>
  </si>
  <si>
    <t>{PUTBLOCK "FIXED OUTLAYS",Bud:b53}</t>
  </si>
  <si>
    <t>{PUTBLOCK "Total Cost Budget",Bud:e14}</t>
  </si>
  <si>
    <t>{PUTBLOCK "Total Fixed Costs",Bud:b59}</t>
  </si>
  <si>
    <t>{PUTBLOCK "Total Fixed Outlays",Bud:b59}</t>
  </si>
  <si>
    <t>{PUTBLOCK "Variable Cost Budget",Bud:e14}</t>
  </si>
  <si>
    <t>|</t>
  </si>
  <si>
    <t>Acre</t>
  </si>
  <si>
    <t>Acres</t>
  </si>
  <si>
    <t>ACRES</t>
  </si>
  <si>
    <t xml:space="preserve">Ammonium nitrate </t>
  </si>
  <si>
    <t>AMOUNT</t>
  </si>
  <si>
    <t>Amt/Ac.</t>
  </si>
  <si>
    <t>ANNUAL ENERGY COST</t>
  </si>
  <si>
    <t>ANNUAL ENERGY COST PER ACRE</t>
  </si>
  <si>
    <t>ANNUAL FIXED COSTS PER ACRE</t>
  </si>
  <si>
    <t>ANNUAL PUMPING HOURS</t>
  </si>
  <si>
    <t>Appl</t>
  </si>
  <si>
    <t>Appl.</t>
  </si>
  <si>
    <t>BASED ON</t>
  </si>
  <si>
    <t>Best</t>
  </si>
  <si>
    <t>Break-Even (BE) Costs Per Lb.</t>
  </si>
  <si>
    <t>Brokerage fee (%)</t>
  </si>
  <si>
    <t>by</t>
  </si>
  <si>
    <t>Calculation of NR and for Z values</t>
  </si>
  <si>
    <t>Calculations</t>
  </si>
  <si>
    <t>Chances</t>
  </si>
  <si>
    <t>CHANCES FOR PROFIT =</t>
  </si>
  <si>
    <t>Cleaning &amp; Drying</t>
  </si>
  <si>
    <t>COST</t>
  </si>
  <si>
    <t>Crop</t>
  </si>
  <si>
    <t>Deprec.</t>
  </si>
  <si>
    <t>DEPREC.</t>
  </si>
  <si>
    <t>DEPTH OF WELL IN FEET</t>
  </si>
  <si>
    <t>DRIP IRRIGATION FOR PECANS</t>
  </si>
  <si>
    <t>Dump wagon</t>
  </si>
  <si>
    <t>Effic.</t>
  </si>
  <si>
    <t>ELECTRICITY</t>
  </si>
  <si>
    <t>Equip.</t>
  </si>
  <si>
    <t>Estimated Annual Maintenance Cost for Pecans</t>
  </si>
  <si>
    <t>Estimated Annual Maintenance Cost For Pecans</t>
  </si>
  <si>
    <t>Expected</t>
  </si>
  <si>
    <t>EXPECTED</t>
  </si>
  <si>
    <t>EXPECTED RETURNS FROM TOTAL ACREAGE</t>
  </si>
  <si>
    <t>FC/Ac</t>
  </si>
  <si>
    <t>Fertilizer (10-10-10)</t>
  </si>
  <si>
    <t>Field</t>
  </si>
  <si>
    <t>FIXED COST</t>
  </si>
  <si>
    <t>FIXED COSTS</t>
  </si>
  <si>
    <t>FIXED COSTS per ACRE</t>
  </si>
  <si>
    <t>Foliar Boron</t>
  </si>
  <si>
    <t>Foliar Zn</t>
  </si>
  <si>
    <t>For</t>
  </si>
  <si>
    <t>Fuel</t>
  </si>
  <si>
    <t>Fungicide</t>
  </si>
  <si>
    <t>Fungicides</t>
  </si>
  <si>
    <t>Gal</t>
  </si>
  <si>
    <t>General Overhead</t>
  </si>
  <si>
    <t>Harvest</t>
  </si>
  <si>
    <t>Harvest and Marketing Costs</t>
  </si>
  <si>
    <t>Herbicide</t>
  </si>
  <si>
    <t>Herbicides</t>
  </si>
  <si>
    <t xml:space="preserve">Herbicides </t>
  </si>
  <si>
    <t>Hour</t>
  </si>
  <si>
    <t>Hr.</t>
  </si>
  <si>
    <t>Hrs</t>
  </si>
  <si>
    <t>In reality , the higher fixed costs may begin earlier or later.</t>
  </si>
  <si>
    <t>Insecticide</t>
  </si>
  <si>
    <t>Insecticides</t>
  </si>
  <si>
    <t>Int</t>
  </si>
  <si>
    <t>Interest</t>
  </si>
  <si>
    <t>INTEREST</t>
  </si>
  <si>
    <t>INTEREST ON INVESTMENT CAPITAL</t>
  </si>
  <si>
    <t>Interest on operation</t>
  </si>
  <si>
    <t>Interest on Operation Capital</t>
  </si>
  <si>
    <t>INVESTMENT AND ANNUAL FIXED COSTS</t>
  </si>
  <si>
    <t>Irriagation</t>
  </si>
  <si>
    <t>Irrigation</t>
  </si>
  <si>
    <t>IRRIGATION: Enter 0 for none, 1 for drip, 2 for Solid Set</t>
  </si>
  <si>
    <t>Item</t>
  </si>
  <si>
    <t>ITEM</t>
  </si>
  <si>
    <t>Labor</t>
  </si>
  <si>
    <t>Land Lease</t>
  </si>
  <si>
    <t>Lbs</t>
  </si>
  <si>
    <t>Lbs.</t>
  </si>
  <si>
    <t>Life</t>
  </si>
  <si>
    <t>Lime (DOL.)</t>
  </si>
  <si>
    <t>Lime (Dolomite)</t>
  </si>
  <si>
    <t>Lime, applied</t>
  </si>
  <si>
    <t>Mach</t>
  </si>
  <si>
    <t>Management Overhead</t>
  </si>
  <si>
    <t>MARKETED</t>
  </si>
  <si>
    <t>MOTOR SIZE (HP)</t>
  </si>
  <si>
    <t>N (46% Urea)</t>
  </si>
  <si>
    <t>Net return levels (TOP ROW);</t>
  </si>
  <si>
    <t>NEW COST</t>
  </si>
  <si>
    <t>Number</t>
  </si>
  <si>
    <t>OPERATING COST PER ACRE PER YEAR</t>
  </si>
  <si>
    <t>OPERATING COSTS</t>
  </si>
  <si>
    <t>Opt</t>
  </si>
  <si>
    <t>Other</t>
  </si>
  <si>
    <t>Over</t>
  </si>
  <si>
    <t>Overhead and Management</t>
  </si>
  <si>
    <t xml:space="preserve">PECAN  RETURNS </t>
  </si>
  <si>
    <t>Per</t>
  </si>
  <si>
    <t>Percent</t>
  </si>
  <si>
    <t>Pess</t>
  </si>
  <si>
    <t>Phosphorus</t>
  </si>
  <si>
    <t>PIPE &amp; FITTINGS</t>
  </si>
  <si>
    <t>Potassium</t>
  </si>
  <si>
    <t>Potassium (K)</t>
  </si>
  <si>
    <t>Pre-Harvest</t>
  </si>
  <si>
    <t>Pre-Harvest Variable Costs</t>
  </si>
  <si>
    <t>Price</t>
  </si>
  <si>
    <t>PRICE</t>
  </si>
  <si>
    <t>Price/lb</t>
  </si>
  <si>
    <t>Purchase</t>
  </si>
  <si>
    <t>PUTBLOCK</t>
  </si>
  <si>
    <t>Quant.</t>
  </si>
  <si>
    <t>QUANT.</t>
  </si>
  <si>
    <t>Quantity</t>
  </si>
  <si>
    <t>Repair &amp; Matenance</t>
  </si>
  <si>
    <t>Repairs</t>
  </si>
  <si>
    <t>REPAIRS</t>
  </si>
  <si>
    <t>Repairs &amp; Maintenance</t>
  </si>
  <si>
    <t>Return over</t>
  </si>
  <si>
    <t>RETURNS</t>
  </si>
  <si>
    <t>RRRETURNS</t>
  </si>
  <si>
    <t xml:space="preserve">Salvage </t>
  </si>
  <si>
    <t>SPACING</t>
  </si>
  <si>
    <t>Speed</t>
  </si>
  <si>
    <t>Spray material</t>
  </si>
  <si>
    <t>TAX &amp; INS.</t>
  </si>
  <si>
    <t>Tax&amp;Ins</t>
  </si>
  <si>
    <t>TAXES &amp; INSURANCE</t>
  </si>
  <si>
    <t>The chances of obtaining this level or less (BOTTOM ROW).</t>
  </si>
  <si>
    <t>The chances of obtaining this level or more (MIDDLE ROW); and</t>
  </si>
  <si>
    <t>This example assumes very good management practices.</t>
  </si>
  <si>
    <t xml:space="preserve">This year fixed costs for the mature orchard was used. </t>
  </si>
  <si>
    <t>Times</t>
  </si>
  <si>
    <t>Ton</t>
  </si>
  <si>
    <t>Total</t>
  </si>
  <si>
    <t>TOTAL</t>
  </si>
  <si>
    <t>TOTAL ANNUAL COSTS PER ACRE</t>
  </si>
  <si>
    <t>TOTAL ANNUAL FIXED COSTS</t>
  </si>
  <si>
    <t>Total budgeted cost per acre</t>
  </si>
  <si>
    <t>Total Cost</t>
  </si>
  <si>
    <t>Total Fixed Costs</t>
  </si>
  <si>
    <t>TOTAL FIXED COSTS</t>
  </si>
  <si>
    <t>Total Harvest</t>
  </si>
  <si>
    <t>Total Harvesting and Marketing Costs</t>
  </si>
  <si>
    <t>Total Investment</t>
  </si>
  <si>
    <t>TOTAL INVESTMENT</t>
  </si>
  <si>
    <t>Total Operating Costs</t>
  </si>
  <si>
    <t>TOTAL OPERATING COSTS</t>
  </si>
  <si>
    <t xml:space="preserve">Total Operating Costs </t>
  </si>
  <si>
    <t>Total Pre-Harvest</t>
  </si>
  <si>
    <t>Total Variable Costs</t>
  </si>
  <si>
    <t>Tractor &amp; Equipment</t>
  </si>
  <si>
    <t>Tractors &amp; Equipment</t>
  </si>
  <si>
    <t>Tree</t>
  </si>
  <si>
    <t>Trees</t>
  </si>
  <si>
    <t>Unit</t>
  </si>
  <si>
    <t>UNIT</t>
  </si>
  <si>
    <t>Use</t>
  </si>
  <si>
    <t>Used</t>
  </si>
  <si>
    <t>Value</t>
  </si>
  <si>
    <t>Var. Cost</t>
  </si>
  <si>
    <t>VOLUME</t>
  </si>
  <si>
    <t>Width</t>
  </si>
  <si>
    <t>Worst</t>
  </si>
  <si>
    <t>Year</t>
  </si>
  <si>
    <t>Yield</t>
  </si>
  <si>
    <t>YIELD/AC</t>
  </si>
  <si>
    <t>Yrs.</t>
  </si>
  <si>
    <t>YRS.LIFE</t>
  </si>
  <si>
    <t>Zinc Sulfate</t>
  </si>
  <si>
    <t>Zinc Sulphate</t>
  </si>
  <si>
    <t>Zn Sulfate (ground)</t>
  </si>
  <si>
    <t xml:space="preserve">Insecticide </t>
  </si>
  <si>
    <t xml:space="preserve"> Fuel &amp; Oil</t>
  </si>
  <si>
    <t>Irrigation (electricity)</t>
  </si>
  <si>
    <t>Tubing &amp; Emitters Inline</t>
  </si>
  <si>
    <t>WELL (4")</t>
  </si>
  <si>
    <t>Pump &amp; Motor</t>
  </si>
  <si>
    <t xml:space="preserve">Filter &amp; Auto </t>
  </si>
  <si>
    <t>Misc.</t>
  </si>
  <si>
    <t xml:space="preserve">Installation </t>
  </si>
  <si>
    <t xml:space="preserve">Land prep 1/- </t>
  </si>
  <si>
    <t>1/-  Landprep vary significantly fro $0 - $1,000 per acre.</t>
  </si>
  <si>
    <t>GA Commission</t>
  </si>
  <si>
    <t>FMO Commission</t>
  </si>
  <si>
    <t>Trees (40 x 40)  2/-</t>
  </si>
  <si>
    <t>2/-  No of trees depend on planting distances, i.e. 40 x 40 fts = 27 trees; 50 x 25 = 35 trees; 40 x 20 = 55 trees; 60 x 30 = 24 trees</t>
  </si>
  <si>
    <t>3/-  Land lease vary from $100 - $300 depending on many factors such as irrigated or not.</t>
  </si>
  <si>
    <t>Land Lease 3/-</t>
  </si>
  <si>
    <t>Alion</t>
  </si>
  <si>
    <t>RU</t>
  </si>
  <si>
    <t xml:space="preserve">Total </t>
  </si>
  <si>
    <t>Total Chemicals</t>
  </si>
  <si>
    <t>Weiss Sweeper</t>
  </si>
  <si>
    <t>Ramcer Harvester</t>
  </si>
  <si>
    <t xml:space="preserve">Weiss Blower </t>
  </si>
  <si>
    <t>Bush Hog Mower (20')</t>
  </si>
  <si>
    <t>John Deere Tractor 5095M  (hp 80)</t>
  </si>
  <si>
    <t>Bess Sprayer</t>
  </si>
  <si>
    <t>Herbicide strip Sprayer</t>
  </si>
  <si>
    <t>Chain saw</t>
  </si>
  <si>
    <t>Rouse Limb rake</t>
  </si>
  <si>
    <t xml:space="preserve">Pressure washer </t>
  </si>
  <si>
    <t>Fuel tank (200 gals)</t>
  </si>
  <si>
    <t>Pole saw</t>
  </si>
  <si>
    <t>Air Compressor</t>
  </si>
  <si>
    <t>Grinder (hand tools etc.)</t>
  </si>
  <si>
    <t>Dodge Truck (1/2 ton)</t>
  </si>
  <si>
    <t xml:space="preserve">Custom shaking </t>
  </si>
  <si>
    <t xml:space="preserve">Harvesting (sweeping, haul) </t>
  </si>
  <si>
    <t>Items</t>
  </si>
  <si>
    <t>Total Establishment Costs ($)</t>
  </si>
  <si>
    <t>Total Fixed Costs ($)</t>
  </si>
  <si>
    <t>TOTAL COSTS (TC)</t>
  </si>
  <si>
    <t xml:space="preserve">TOTAL FIXED COSTS (TFC) </t>
  </si>
  <si>
    <t>TOTAL FIXED COSTS (TFC)</t>
  </si>
  <si>
    <t>GROWERS ARE EXPECTED TO INPUT THEIR ACTUAL DATA HERE</t>
  </si>
  <si>
    <t xml:space="preserve">             ESTIMATING MACHINERY OPERATING COSTS FOR PECANS</t>
  </si>
  <si>
    <t>1st. Year Estimated Establishment And Maintenance</t>
  </si>
  <si>
    <t>EXAMPLE OF CHEMICALS FOR PECANS</t>
  </si>
  <si>
    <t>THIS BUDGET IS INTERACTIVE</t>
  </si>
  <si>
    <t>Cost Per Acre For Medium Input Georgia Pecan, 2019</t>
  </si>
  <si>
    <t xml:space="preserve">2nd Through 4th Years, Medium Input Georgia Pecans, 2019 </t>
  </si>
  <si>
    <t>5th Through 7th Years, Medium Input Georgia Pecans,  2019</t>
  </si>
  <si>
    <t>ESTIMATED TOTAL ANNUAL FIXED MACHINERY COSTS FOR PECANS - 2019</t>
  </si>
  <si>
    <t>1/- Due to Hurricane Michael, some growers suffered yield loss of 100%</t>
  </si>
  <si>
    <t xml:space="preserve">Sensitivity Economic Analysis for Price and Yield over Total Cost </t>
  </si>
  <si>
    <t>of Profit</t>
  </si>
  <si>
    <t xml:space="preserve">$-Net </t>
  </si>
  <si>
    <t>Returns</t>
  </si>
  <si>
    <t>Disclaimer:</t>
  </si>
  <si>
    <t>This budget is only a guideline.  Production practices, yields, selling and input prices vary significantly</t>
  </si>
  <si>
    <t>between growers, researchers, states, regions and nationally.  Growers are advised to enter their actual</t>
  </si>
  <si>
    <t xml:space="preserve">yields, selling and input price data.  </t>
  </si>
  <si>
    <t>2019 - Medium Input Pecan Budget</t>
  </si>
  <si>
    <t>Prepared by:</t>
  </si>
  <si>
    <t>Esendugue Greg Fonsah, Lenny Wells and Doug Collins</t>
  </si>
  <si>
    <t>UGA Ext. Ag. Econ. Dept., Hort. Dept., and Ext Coordinator, Lee Co.</t>
  </si>
  <si>
    <t>Yours</t>
  </si>
  <si>
    <t>Yield (lbs)</t>
  </si>
  <si>
    <t>Price per lb.</t>
  </si>
  <si>
    <t>Number of acres =</t>
  </si>
  <si>
    <t>(Variable Cost Budget)</t>
  </si>
  <si>
    <t>INPUT DATA: Your values in the unprotected or highlighted cells</t>
  </si>
  <si>
    <t>Preharvest variable cost per lb.</t>
  </si>
  <si>
    <t>Harvest &amp; marketing cost per lb.</t>
  </si>
  <si>
    <t xml:space="preserve">Fixed costs per lb.                 </t>
  </si>
  <si>
    <t>Yields per lb.</t>
  </si>
  <si>
    <t xml:space="preserve">EXPECTED            </t>
  </si>
  <si>
    <t>BEST</t>
  </si>
  <si>
    <t>OPT</t>
  </si>
  <si>
    <t>MEDIAN</t>
  </si>
  <si>
    <t>PESS</t>
  </si>
  <si>
    <t>WORST</t>
  </si>
  <si>
    <t>Variable Costs</t>
  </si>
  <si>
    <t>RISK RATED RETURNS OVER TOTAL COSTS</t>
  </si>
  <si>
    <t>BASE BUDGETED NET REVENUE  ($) =</t>
  </si>
  <si>
    <t>%Chance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</si>
</sst>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0.0%"/>
    <numFmt numFmtId="166" formatCode="0.000"/>
    <numFmt numFmtId="167" formatCode="[$$-409]\ #,##0"/>
    <numFmt numFmtId="168" formatCode="0.0"/>
    <numFmt numFmtId="169" formatCode="[$$-409]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sz val="8"/>
      <name val="Helv"/>
      <family val="0"/>
    </font>
    <font>
      <sz val="10"/>
      <color indexed="8"/>
      <name val="Arial"/>
      <family val="2"/>
    </font>
    <font>
      <b/>
      <sz val="10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u val="single"/>
      <sz val="10"/>
      <color indexed="45"/>
      <name val="Arial"/>
      <family val="2"/>
    </font>
    <font>
      <sz val="11"/>
      <color indexed="36"/>
      <name val="Calibri"/>
      <family val="2"/>
    </font>
    <font>
      <b/>
      <sz val="15"/>
      <color indexed="14"/>
      <name val="Calibri"/>
      <family val="2"/>
    </font>
    <font>
      <b/>
      <sz val="13"/>
      <color indexed="14"/>
      <name val="Calibri"/>
      <family val="2"/>
    </font>
    <font>
      <b/>
      <sz val="11"/>
      <color indexed="14"/>
      <name val="Calibri"/>
      <family val="2"/>
    </font>
    <font>
      <u val="single"/>
      <sz val="10"/>
      <color indexed="11"/>
      <name val="Arial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b/>
      <sz val="18"/>
      <color indexed="14"/>
      <name val="Cambria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32"/>
      <name val="Arial"/>
      <family val="2"/>
    </font>
    <font>
      <sz val="10"/>
      <color indexed="3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  <font>
      <b/>
      <sz val="16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0" fontId="5" fillId="2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1" applyNumberFormat="0" applyAlignment="0" applyProtection="0"/>
    <xf numFmtId="0" fontId="45" fillId="0" borderId="6" applyNumberFormat="0" applyFill="0" applyAlignment="0" applyProtection="0"/>
    <xf numFmtId="0" fontId="46" fillId="32" borderId="0" applyNumberFormat="0" applyBorder="0" applyAlignment="0" applyProtection="0"/>
    <xf numFmtId="0" fontId="0" fillId="33" borderId="7" applyNumberFormat="0" applyFont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5">
    <xf numFmtId="0" fontId="0" fillId="2" borderId="0" xfId="0" applyFill="1" applyAlignment="1">
      <alignment/>
    </xf>
    <xf numFmtId="0" fontId="0" fillId="2" borderId="10" xfId="0" applyFill="1" applyBorder="1" applyAlignment="1">
      <alignment/>
    </xf>
    <xf numFmtId="1" fontId="0" fillId="2" borderId="10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1" fontId="0" fillId="2" borderId="10" xfId="0" applyNumberFormat="1" applyFill="1" applyBorder="1" applyAlignment="1">
      <alignment/>
    </xf>
    <xf numFmtId="164" fontId="0" fillId="2" borderId="10" xfId="0" applyNumberForma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2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9" fontId="0" fillId="2" borderId="10" xfId="0" applyNumberFormat="1" applyFill="1" applyBorder="1" applyAlignment="1">
      <alignment horizontal="center"/>
    </xf>
    <xf numFmtId="2" fontId="3" fillId="2" borderId="10" xfId="0" applyNumberFormat="1" applyFont="1" applyFill="1" applyBorder="1" applyAlignment="1">
      <alignment/>
    </xf>
    <xf numFmtId="1" fontId="3" fillId="2" borderId="10" xfId="0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 horizontal="center"/>
    </xf>
    <xf numFmtId="164" fontId="0" fillId="2" borderId="10" xfId="0" applyNumberFormat="1" applyFill="1" applyBorder="1" applyAlignment="1">
      <alignment horizontal="right"/>
    </xf>
    <xf numFmtId="164" fontId="0" fillId="2" borderId="10" xfId="0" applyNumberFormat="1" applyFill="1" applyBorder="1" applyAlignment="1">
      <alignment/>
    </xf>
    <xf numFmtId="165" fontId="0" fillId="2" borderId="10" xfId="0" applyNumberFormat="1" applyFill="1" applyBorder="1" applyAlignment="1">
      <alignment/>
    </xf>
    <xf numFmtId="2" fontId="0" fillId="2" borderId="10" xfId="0" applyNumberFormat="1" applyFill="1" applyBorder="1" applyAlignment="1">
      <alignment horizontal="right"/>
    </xf>
    <xf numFmtId="10" fontId="0" fillId="2" borderId="10" xfId="0" applyNumberFormat="1" applyFill="1" applyBorder="1" applyAlignment="1">
      <alignment/>
    </xf>
    <xf numFmtId="0" fontId="7" fillId="34" borderId="10" xfId="0" applyFont="1" applyFill="1" applyBorder="1" applyAlignment="1">
      <alignment horizontal="centerContinuous"/>
    </xf>
    <xf numFmtId="0" fontId="3" fillId="2" borderId="10" xfId="0" applyFont="1" applyFill="1" applyBorder="1" applyAlignment="1">
      <alignment/>
    </xf>
    <xf numFmtId="2" fontId="3" fillId="2" borderId="10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left"/>
    </xf>
    <xf numFmtId="2" fontId="0" fillId="2" borderId="10" xfId="0" applyNumberFormat="1" applyFont="1" applyFill="1" applyBorder="1" applyAlignment="1">
      <alignment horizontal="left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/>
    </xf>
    <xf numFmtId="9" fontId="0" fillId="2" borderId="10" xfId="0" applyNumberFormat="1" applyFont="1" applyFill="1" applyBorder="1" applyAlignment="1">
      <alignment horizontal="right"/>
    </xf>
    <xf numFmtId="2" fontId="0" fillId="2" borderId="10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2" fontId="0" fillId="2" borderId="10" xfId="0" applyNumberFormat="1" applyFont="1" applyFill="1" applyBorder="1" applyAlignment="1">
      <alignment/>
    </xf>
    <xf numFmtId="1" fontId="0" fillId="2" borderId="10" xfId="0" applyNumberFormat="1" applyFont="1" applyFill="1" applyBorder="1" applyAlignment="1">
      <alignment/>
    </xf>
    <xf numFmtId="2" fontId="3" fillId="2" borderId="10" xfId="0" applyNumberFormat="1" applyFont="1" applyFill="1" applyBorder="1" applyAlignment="1">
      <alignment horizontal="right"/>
    </xf>
    <xf numFmtId="164" fontId="3" fillId="2" borderId="10" xfId="0" applyNumberFormat="1" applyFont="1" applyFill="1" applyBorder="1" applyAlignment="1">
      <alignment horizontal="right"/>
    </xf>
    <xf numFmtId="3" fontId="0" fillId="2" borderId="10" xfId="0" applyNumberFormat="1" applyFont="1" applyFill="1" applyBorder="1" applyAlignment="1">
      <alignment/>
    </xf>
    <xf numFmtId="1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3" fillId="2" borderId="10" xfId="0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0" fontId="0" fillId="2" borderId="11" xfId="0" applyFill="1" applyBorder="1" applyAlignment="1">
      <alignment/>
    </xf>
    <xf numFmtId="2" fontId="3" fillId="2" borderId="12" xfId="0" applyNumberFormat="1" applyFont="1" applyFill="1" applyBorder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/>
    </xf>
    <xf numFmtId="2" fontId="3" fillId="2" borderId="12" xfId="0" applyNumberFormat="1" applyFont="1" applyFill="1" applyBorder="1" applyAlignment="1">
      <alignment/>
    </xf>
    <xf numFmtId="0" fontId="3" fillId="2" borderId="11" xfId="0" applyFont="1" applyFill="1" applyBorder="1" applyAlignment="1">
      <alignment/>
    </xf>
    <xf numFmtId="164" fontId="0" fillId="2" borderId="11" xfId="0" applyNumberFormat="1" applyFill="1" applyBorder="1" applyAlignment="1">
      <alignment horizontal="right"/>
    </xf>
    <xf numFmtId="164" fontId="3" fillId="2" borderId="12" xfId="0" applyNumberFormat="1" applyFont="1" applyFill="1" applyBorder="1" applyAlignment="1">
      <alignment horizontal="right"/>
    </xf>
    <xf numFmtId="164" fontId="0" fillId="2" borderId="11" xfId="0" applyNumberFormat="1" applyFill="1" applyBorder="1" applyAlignment="1">
      <alignment/>
    </xf>
    <xf numFmtId="164" fontId="3" fillId="2" borderId="12" xfId="0" applyNumberFormat="1" applyFont="1" applyFill="1" applyBorder="1" applyAlignment="1">
      <alignment horizontal="right"/>
    </xf>
    <xf numFmtId="2" fontId="0" fillId="2" borderId="11" xfId="0" applyNumberFormat="1" applyFill="1" applyBorder="1" applyAlignment="1">
      <alignment horizontal="center"/>
    </xf>
    <xf numFmtId="167" fontId="3" fillId="2" borderId="12" xfId="0" applyNumberFormat="1" applyFont="1" applyFill="1" applyBorder="1" applyAlignment="1">
      <alignment/>
    </xf>
    <xf numFmtId="0" fontId="3" fillId="2" borderId="12" xfId="0" applyFont="1" applyFill="1" applyBorder="1" applyAlignment="1">
      <alignment/>
    </xf>
    <xf numFmtId="1" fontId="3" fillId="2" borderId="12" xfId="0" applyNumberFormat="1" applyFont="1" applyFill="1" applyBorder="1" applyAlignment="1">
      <alignment/>
    </xf>
    <xf numFmtId="164" fontId="3" fillId="2" borderId="12" xfId="0" applyNumberFormat="1" applyFon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51" fillId="2" borderId="10" xfId="0" applyFont="1" applyFill="1" applyBorder="1" applyAlignment="1">
      <alignment/>
    </xf>
    <xf numFmtId="2" fontId="3" fillId="2" borderId="0" xfId="0" applyNumberFormat="1" applyFont="1" applyFill="1" applyBorder="1" applyAlignment="1">
      <alignment/>
    </xf>
    <xf numFmtId="2" fontId="0" fillId="2" borderId="0" xfId="0" applyNumberForma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1" fontId="0" fillId="2" borderId="0" xfId="0" applyNumberForma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/>
    </xf>
    <xf numFmtId="166" fontId="0" fillId="2" borderId="0" xfId="0" applyNumberForma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164" fontId="0" fillId="2" borderId="0" xfId="0" applyNumberForma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9" fontId="6" fillId="2" borderId="0" xfId="0" applyNumberFormat="1" applyFont="1" applyFill="1" applyBorder="1" applyAlignment="1">
      <alignment horizontal="center"/>
    </xf>
    <xf numFmtId="9" fontId="3" fillId="2" borderId="0" xfId="0" applyNumberFormat="1" applyFont="1" applyFill="1" applyBorder="1" applyAlignment="1">
      <alignment horizontal="center"/>
    </xf>
    <xf numFmtId="0" fontId="52" fillId="2" borderId="0" xfId="0" applyFont="1" applyFill="1" applyBorder="1" applyAlignment="1">
      <alignment horizontal="center"/>
    </xf>
    <xf numFmtId="3" fontId="52" fillId="2" borderId="0" xfId="0" applyNumberFormat="1" applyFont="1" applyFill="1" applyBorder="1" applyAlignment="1">
      <alignment horizontal="center"/>
    </xf>
    <xf numFmtId="0" fontId="52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 horizontal="center"/>
    </xf>
    <xf numFmtId="0" fontId="51" fillId="35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2" borderId="14" xfId="0" applyFill="1" applyBorder="1" applyAlignment="1">
      <alignment horizontal="center"/>
    </xf>
    <xf numFmtId="0" fontId="53" fillId="2" borderId="0" xfId="0" applyFont="1" applyFill="1" applyBorder="1" applyAlignment="1">
      <alignment horizontal="center"/>
    </xf>
    <xf numFmtId="2" fontId="4" fillId="2" borderId="0" xfId="0" applyNumberFormat="1" applyFont="1" applyFill="1" applyAlignment="1">
      <alignment/>
    </xf>
    <xf numFmtId="2" fontId="2" fillId="2" borderId="15" xfId="0" applyNumberFormat="1" applyFont="1" applyFill="1" applyBorder="1" applyAlignment="1">
      <alignment horizontal="centerContinuous"/>
    </xf>
    <xf numFmtId="2" fontId="2" fillId="2" borderId="16" xfId="0" applyNumberFormat="1" applyFont="1" applyFill="1" applyBorder="1" applyAlignment="1">
      <alignment horizontal="centerContinuous"/>
    </xf>
    <xf numFmtId="0" fontId="2" fillId="2" borderId="16" xfId="0" applyFont="1" applyFill="1" applyBorder="1" applyAlignment="1">
      <alignment horizontal="centerContinuous"/>
    </xf>
    <xf numFmtId="2" fontId="2" fillId="2" borderId="17" xfId="0" applyNumberFormat="1" applyFont="1" applyFill="1" applyBorder="1" applyAlignment="1">
      <alignment horizontal="centerContinuous"/>
    </xf>
    <xf numFmtId="0" fontId="2" fillId="2" borderId="18" xfId="0" applyFont="1" applyFill="1" applyBorder="1" applyAlignment="1">
      <alignment horizontal="centerContinuous"/>
    </xf>
    <xf numFmtId="2" fontId="2" fillId="2" borderId="0" xfId="0" applyNumberFormat="1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2" fontId="2" fillId="2" borderId="19" xfId="0" applyNumberFormat="1" applyFont="1" applyFill="1" applyBorder="1" applyAlignment="1">
      <alignment horizontal="centerContinuous"/>
    </xf>
    <xf numFmtId="2" fontId="2" fillId="2" borderId="20" xfId="0" applyNumberFormat="1" applyFont="1" applyFill="1" applyBorder="1" applyAlignment="1">
      <alignment horizontal="centerContinuous"/>
    </xf>
    <xf numFmtId="0" fontId="2" fillId="2" borderId="14" xfId="0" applyFont="1" applyFill="1" applyBorder="1" applyAlignment="1">
      <alignment horizontal="centerContinuous"/>
    </xf>
    <xf numFmtId="2" fontId="2" fillId="2" borderId="21" xfId="0" applyNumberFormat="1" applyFont="1" applyFill="1" applyBorder="1" applyAlignment="1">
      <alignment horizontal="centerContinuous"/>
    </xf>
    <xf numFmtId="0" fontId="54" fillId="2" borderId="0" xfId="0" applyFont="1" applyFill="1" applyBorder="1" applyAlignment="1">
      <alignment horizontal="centerContinuous"/>
    </xf>
    <xf numFmtId="164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2" fontId="3" fillId="2" borderId="22" xfId="0" applyNumberFormat="1" applyFont="1" applyFill="1" applyBorder="1" applyAlignment="1">
      <alignment horizontal="center"/>
    </xf>
    <xf numFmtId="1" fontId="3" fillId="2" borderId="22" xfId="0" applyNumberFormat="1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2" fontId="3" fillId="2" borderId="23" xfId="0" applyNumberFormat="1" applyFont="1" applyFill="1" applyBorder="1" applyAlignment="1">
      <alignment horizontal="right"/>
    </xf>
    <xf numFmtId="1" fontId="3" fillId="2" borderId="23" xfId="0" applyNumberFormat="1" applyFont="1" applyFill="1" applyBorder="1" applyAlignment="1">
      <alignment horizontal="right"/>
    </xf>
    <xf numFmtId="164" fontId="0" fillId="2" borderId="23" xfId="0" applyNumberFormat="1" applyFill="1" applyBorder="1" applyAlignment="1">
      <alignment horizontal="center"/>
    </xf>
    <xf numFmtId="2" fontId="3" fillId="2" borderId="23" xfId="0" applyNumberFormat="1" applyFont="1" applyFill="1" applyBorder="1" applyAlignment="1">
      <alignment horizontal="right"/>
    </xf>
    <xf numFmtId="1" fontId="3" fillId="2" borderId="23" xfId="0" applyNumberFormat="1" applyFont="1" applyFill="1" applyBorder="1" applyAlignment="1">
      <alignment horizontal="right"/>
    </xf>
    <xf numFmtId="0" fontId="0" fillId="2" borderId="14" xfId="0" applyFont="1" applyFill="1" applyBorder="1" applyAlignment="1">
      <alignment/>
    </xf>
    <xf numFmtId="1" fontId="0" fillId="2" borderId="14" xfId="0" applyNumberFormat="1" applyFont="1" applyFill="1" applyBorder="1" applyAlignment="1">
      <alignment/>
    </xf>
    <xf numFmtId="3" fontId="0" fillId="2" borderId="14" xfId="0" applyNumberFormat="1" applyFill="1" applyBorder="1" applyAlignment="1">
      <alignment horizontal="center"/>
    </xf>
    <xf numFmtId="3" fontId="3" fillId="2" borderId="22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4" xfId="0" applyFill="1" applyBorder="1" applyAlignment="1">
      <alignment horizontal="center"/>
    </xf>
    <xf numFmtId="3" fontId="55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53" fillId="2" borderId="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56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1" fillId="35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2" fontId="2" fillId="2" borderId="10" xfId="0" applyNumberFormat="1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25" xfId="0" applyFill="1" applyBorder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de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00FF"/>
      <rgbColor rgb="0000FFFF"/>
      <rgbColor rgb="00FF00FF"/>
      <rgbColor rgb="00000080"/>
      <rgbColor rgb="00FFFFFF"/>
      <rgbColor rgb="00B0FFFF"/>
      <rgbColor rgb="00FFB0B0"/>
      <rgbColor rgb="00FFB0FF"/>
      <rgbColor rgb="00FFA0D0"/>
      <rgbColor rgb="00FFFFBF"/>
      <rgbColor rgb="00BFFFFF"/>
      <rgbColor rgb="00E6E6E6"/>
      <rgbColor rgb="00FF0080"/>
      <rgbColor rgb="00FFFF00"/>
      <rgbColor rgb="0000FF00"/>
      <rgbColor rgb="00C00060"/>
      <rgbColor rgb="00FFFF80"/>
      <rgbColor rgb="0080FF00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114</xdr:row>
      <xdr:rowOff>0</xdr:rowOff>
    </xdr:from>
    <xdr:to>
      <xdr:col>9</xdr:col>
      <xdr:colOff>419100</xdr:colOff>
      <xdr:row>116</xdr:row>
      <xdr:rowOff>123825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20764500"/>
          <a:ext cx="2286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42</xdr:row>
      <xdr:rowOff>0</xdr:rowOff>
    </xdr:from>
    <xdr:to>
      <xdr:col>7</xdr:col>
      <xdr:colOff>428625</xdr:colOff>
      <xdr:row>45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6934200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38</xdr:row>
      <xdr:rowOff>0</xdr:rowOff>
    </xdr:from>
    <xdr:to>
      <xdr:col>7</xdr:col>
      <xdr:colOff>228600</xdr:colOff>
      <xdr:row>41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6286500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37</xdr:row>
      <xdr:rowOff>0</xdr:rowOff>
    </xdr:from>
    <xdr:to>
      <xdr:col>6</xdr:col>
      <xdr:colOff>180975</xdr:colOff>
      <xdr:row>40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6124575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38</xdr:row>
      <xdr:rowOff>0</xdr:rowOff>
    </xdr:from>
    <xdr:to>
      <xdr:col>8</xdr:col>
      <xdr:colOff>466725</xdr:colOff>
      <xdr:row>41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6267450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26</xdr:row>
      <xdr:rowOff>0</xdr:rowOff>
    </xdr:from>
    <xdr:to>
      <xdr:col>9</xdr:col>
      <xdr:colOff>200025</xdr:colOff>
      <xdr:row>29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4286250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41</xdr:row>
      <xdr:rowOff>0</xdr:rowOff>
    </xdr:from>
    <xdr:to>
      <xdr:col>9</xdr:col>
      <xdr:colOff>200025</xdr:colOff>
      <xdr:row>44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6715125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52</xdr:row>
      <xdr:rowOff>0</xdr:rowOff>
    </xdr:from>
    <xdr:to>
      <xdr:col>8</xdr:col>
      <xdr:colOff>447675</xdr:colOff>
      <xdr:row>55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8534400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31</xdr:row>
      <xdr:rowOff>19050</xdr:rowOff>
    </xdr:from>
    <xdr:to>
      <xdr:col>7</xdr:col>
      <xdr:colOff>342900</xdr:colOff>
      <xdr:row>34</xdr:row>
      <xdr:rowOff>28575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5076825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AQ168"/>
  <sheetViews>
    <sheetView tabSelected="1" zoomScale="102" zoomScaleNormal="102" zoomScalePageLayoutView="0" workbookViewId="0" topLeftCell="A73">
      <selection activeCell="E63" sqref="E63"/>
    </sheetView>
  </sheetViews>
  <sheetFormatPr defaultColWidth="9.140625" defaultRowHeight="12.75"/>
  <cols>
    <col min="1" max="1" width="3.28125" style="1" customWidth="1"/>
    <col min="2" max="2" width="6.140625" style="1" customWidth="1"/>
    <col min="3" max="3" width="12.421875" style="1" customWidth="1"/>
    <col min="4" max="4" width="11.7109375" style="1" customWidth="1"/>
    <col min="5" max="5" width="9.7109375" style="1" customWidth="1"/>
    <col min="6" max="6" width="8.7109375" style="1" customWidth="1"/>
    <col min="7" max="7" width="9.7109375" style="1" customWidth="1"/>
    <col min="8" max="8" width="8.28125" style="1" customWidth="1"/>
    <col min="9" max="9" width="10.00390625" style="1" customWidth="1"/>
    <col min="10" max="10" width="9.28125" style="1" customWidth="1"/>
    <col min="11" max="11" width="8.57421875" style="154" customWidth="1"/>
    <col min="12" max="12" width="11.7109375" style="65" customWidth="1"/>
    <col min="13" max="31" width="9.140625" style="65" customWidth="1"/>
    <col min="32" max="32" width="3.28125" style="65" customWidth="1"/>
    <col min="33" max="33" width="1.57421875" style="65" customWidth="1"/>
    <col min="34" max="34" width="2.421875" style="65" customWidth="1"/>
    <col min="35" max="35" width="54.7109375" style="65" customWidth="1"/>
    <col min="36" max="36" width="2.421875" style="65" customWidth="1"/>
    <col min="37" max="37" width="1.57421875" style="65" customWidth="1"/>
    <col min="38" max="43" width="9.140625" style="65" customWidth="1"/>
    <col min="44" max="44" width="9.140625" style="64" customWidth="1"/>
    <col min="45" max="16384" width="9.140625" style="1" customWidth="1"/>
  </cols>
  <sheetData>
    <row r="1" spans="1:11" ht="15" customHeight="1">
      <c r="A1" s="139" t="s">
        <v>321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5" customHeight="1">
      <c r="A2" s="139" t="s">
        <v>322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15" customHeight="1">
      <c r="A3" s="139" t="s">
        <v>323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ht="15" customHeight="1">
      <c r="A4" s="139" t="s">
        <v>324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1" ht="1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spans="1:11" ht="15" customHeight="1">
      <c r="A6" s="103"/>
      <c r="B6" s="65"/>
      <c r="C6" s="104"/>
      <c r="D6" s="105"/>
      <c r="E6" s="106"/>
      <c r="F6" s="106"/>
      <c r="G6" s="106"/>
      <c r="H6" s="106"/>
      <c r="I6" s="106"/>
      <c r="J6" s="107"/>
      <c r="K6" s="102"/>
    </row>
    <row r="7" spans="1:11" ht="15" customHeight="1">
      <c r="A7" s="103"/>
      <c r="B7" s="65"/>
      <c r="C7" s="108" t="s">
        <v>330</v>
      </c>
      <c r="D7" s="109"/>
      <c r="E7" s="109"/>
      <c r="F7" s="109"/>
      <c r="G7" s="109"/>
      <c r="H7" s="109"/>
      <c r="I7" s="110"/>
      <c r="J7" s="111"/>
      <c r="K7" s="102"/>
    </row>
    <row r="8" spans="1:11" ht="15" customHeight="1">
      <c r="A8" s="103"/>
      <c r="B8" s="65"/>
      <c r="C8" s="112"/>
      <c r="D8" s="113"/>
      <c r="E8" s="113"/>
      <c r="F8" s="113"/>
      <c r="G8" s="113"/>
      <c r="H8" s="113"/>
      <c r="I8" s="113"/>
      <c r="J8" s="114"/>
      <c r="K8" s="65" t="s">
        <v>0</v>
      </c>
    </row>
    <row r="9" spans="1:11" ht="15" customHeight="1">
      <c r="A9" s="103"/>
      <c r="B9" s="109"/>
      <c r="C9" s="110"/>
      <c r="D9" s="110"/>
      <c r="E9" s="110"/>
      <c r="F9" s="110"/>
      <c r="G9" s="110"/>
      <c r="H9" s="110"/>
      <c r="I9" s="109"/>
      <c r="J9" s="66"/>
      <c r="K9" s="65"/>
    </row>
    <row r="10" spans="1:11" ht="16.5" customHeight="1">
      <c r="A10" s="103"/>
      <c r="B10" s="109"/>
      <c r="C10" s="110"/>
      <c r="D10" s="110"/>
      <c r="E10" s="115" t="s">
        <v>307</v>
      </c>
      <c r="F10" s="110"/>
      <c r="G10" s="110"/>
      <c r="H10" s="110"/>
      <c r="I10" s="109"/>
      <c r="J10" s="66"/>
      <c r="K10" s="65"/>
    </row>
    <row r="11" spans="1:11" ht="15" customHeight="1">
      <c r="A11" s="103"/>
      <c r="B11" s="109"/>
      <c r="C11" s="110"/>
      <c r="D11" s="110"/>
      <c r="E11" s="115"/>
      <c r="F11" s="110"/>
      <c r="G11" s="110"/>
      <c r="H11" s="110"/>
      <c r="I11" s="109"/>
      <c r="J11" s="66"/>
      <c r="K11" s="65"/>
    </row>
    <row r="12" spans="1:11" ht="15" customHeight="1">
      <c r="A12" s="65"/>
      <c r="B12" s="65"/>
      <c r="C12" s="65"/>
      <c r="D12" s="65"/>
      <c r="E12" s="80" t="s">
        <v>329</v>
      </c>
      <c r="F12" s="65"/>
      <c r="G12" s="65"/>
      <c r="H12" s="65"/>
      <c r="I12" s="65"/>
      <c r="J12" s="65"/>
      <c r="K12" s="65" t="s">
        <v>0</v>
      </c>
    </row>
    <row r="13" spans="1:11" ht="15" customHeight="1">
      <c r="A13" s="65"/>
      <c r="B13" s="65"/>
      <c r="C13" s="65"/>
      <c r="D13" s="65"/>
      <c r="E13" s="78" t="s">
        <v>328</v>
      </c>
      <c r="F13" s="65"/>
      <c r="G13" s="65"/>
      <c r="H13" s="65"/>
      <c r="I13" s="68">
        <v>1</v>
      </c>
      <c r="J13" s="65"/>
      <c r="K13" s="65" t="s">
        <v>2</v>
      </c>
    </row>
    <row r="14" spans="1:11" ht="15" customHeight="1">
      <c r="A14" s="65"/>
      <c r="B14" s="65"/>
      <c r="C14" s="65" t="s">
        <v>158</v>
      </c>
      <c r="D14" s="65"/>
      <c r="E14" s="65"/>
      <c r="F14" s="65"/>
      <c r="G14" s="65"/>
      <c r="H14" s="65"/>
      <c r="I14" s="68">
        <v>1</v>
      </c>
      <c r="J14" s="65"/>
      <c r="K14" s="65" t="s">
        <v>0</v>
      </c>
    </row>
    <row r="15" spans="1:11" ht="15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 t="s">
        <v>0</v>
      </c>
    </row>
    <row r="16" spans="1:11" ht="15" customHeight="1">
      <c r="A16" s="65"/>
      <c r="B16" s="67"/>
      <c r="C16" s="67"/>
      <c r="D16" s="67"/>
      <c r="E16" s="69" t="s">
        <v>336</v>
      </c>
      <c r="F16" s="69" t="s">
        <v>337</v>
      </c>
      <c r="G16" s="69" t="s">
        <v>338</v>
      </c>
      <c r="H16" s="70" t="s">
        <v>339</v>
      </c>
      <c r="I16" s="70" t="s">
        <v>340</v>
      </c>
      <c r="J16" s="71" t="s">
        <v>0</v>
      </c>
      <c r="K16" s="65" t="s">
        <v>0</v>
      </c>
    </row>
    <row r="17" spans="1:11" ht="15" customHeight="1">
      <c r="A17" s="65"/>
      <c r="B17" s="65"/>
      <c r="C17" s="65"/>
      <c r="D17" s="65"/>
      <c r="E17" s="72"/>
      <c r="F17" s="72"/>
      <c r="G17" s="72"/>
      <c r="H17" s="72"/>
      <c r="I17" s="72"/>
      <c r="J17" s="65"/>
      <c r="K17" s="65" t="s">
        <v>0</v>
      </c>
    </row>
    <row r="18" spans="1:11" ht="15" customHeight="1">
      <c r="A18" s="65"/>
      <c r="B18" s="78" t="s">
        <v>326</v>
      </c>
      <c r="C18" s="65"/>
      <c r="D18" s="65"/>
      <c r="E18" s="68">
        <v>1400</v>
      </c>
      <c r="F18" s="68">
        <v>1200</v>
      </c>
      <c r="G18" s="132">
        <v>1000</v>
      </c>
      <c r="H18" s="68">
        <v>600</v>
      </c>
      <c r="I18" s="68">
        <v>300</v>
      </c>
      <c r="J18" s="65"/>
      <c r="K18" s="65" t="s">
        <v>0</v>
      </c>
    </row>
    <row r="19" spans="1:11" ht="15" customHeight="1">
      <c r="A19" s="65"/>
      <c r="B19" s="78" t="s">
        <v>327</v>
      </c>
      <c r="C19" s="65"/>
      <c r="D19" s="65"/>
      <c r="E19" s="74">
        <v>2.6</v>
      </c>
      <c r="F19" s="74">
        <v>2.3</v>
      </c>
      <c r="G19" s="133">
        <v>2</v>
      </c>
      <c r="H19" s="74">
        <v>1.7</v>
      </c>
      <c r="I19" s="74">
        <v>1.4</v>
      </c>
      <c r="J19" s="65"/>
      <c r="K19" s="65" t="s">
        <v>0</v>
      </c>
    </row>
    <row r="20" spans="1:11" ht="15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 t="s">
        <v>0</v>
      </c>
    </row>
    <row r="21" spans="1:11" ht="15" customHeight="1">
      <c r="A21" s="65"/>
      <c r="B21" s="67"/>
      <c r="C21" s="69" t="s">
        <v>297</v>
      </c>
      <c r="D21" s="67"/>
      <c r="E21" s="67"/>
      <c r="F21" s="69" t="s">
        <v>242</v>
      </c>
      <c r="G21" s="69" t="s">
        <v>198</v>
      </c>
      <c r="H21" s="70" t="s">
        <v>193</v>
      </c>
      <c r="I21" s="73" t="s">
        <v>64</v>
      </c>
      <c r="J21" s="75" t="s">
        <v>221</v>
      </c>
      <c r="K21" s="80" t="s">
        <v>325</v>
      </c>
    </row>
    <row r="22" spans="1:11" ht="15" customHeight="1">
      <c r="A22" s="65"/>
      <c r="B22" s="78" t="s">
        <v>341</v>
      </c>
      <c r="C22" s="65"/>
      <c r="D22" s="65"/>
      <c r="E22" s="65"/>
      <c r="F22" s="65"/>
      <c r="G22" s="65"/>
      <c r="H22" s="65"/>
      <c r="I22" s="65"/>
      <c r="J22" s="65"/>
      <c r="K22" s="65" t="s">
        <v>0</v>
      </c>
    </row>
    <row r="23" spans="1:19" ht="15" customHeight="1">
      <c r="A23" s="65"/>
      <c r="B23" s="65"/>
      <c r="C23" s="65"/>
      <c r="D23" s="65"/>
      <c r="E23" s="65"/>
      <c r="F23" s="65"/>
      <c r="G23" s="65"/>
      <c r="H23" s="65"/>
      <c r="I23" s="76" t="s">
        <v>0</v>
      </c>
      <c r="J23" s="65"/>
      <c r="K23" s="65"/>
      <c r="S23" s="65" t="s">
        <v>0</v>
      </c>
    </row>
    <row r="24" spans="1:11" ht="15" customHeight="1">
      <c r="A24" s="65"/>
      <c r="B24" s="65"/>
      <c r="C24" s="65" t="s">
        <v>168</v>
      </c>
      <c r="D24" s="65"/>
      <c r="E24" s="65"/>
      <c r="F24" s="72" t="s">
        <v>220</v>
      </c>
      <c r="G24" s="72">
        <v>0.5</v>
      </c>
      <c r="H24" s="74">
        <v>30</v>
      </c>
      <c r="I24" s="74">
        <f aca="true" t="shared" si="0" ref="I24:I38">G24*H24</f>
        <v>15</v>
      </c>
      <c r="J24" s="68">
        <f>I24*I13</f>
        <v>15</v>
      </c>
      <c r="K24" s="101"/>
    </row>
    <row r="25" spans="1:11" ht="12.75" customHeight="1">
      <c r="A25" s="65"/>
      <c r="B25" s="65"/>
      <c r="C25" s="65" t="s">
        <v>173</v>
      </c>
      <c r="D25" s="65"/>
      <c r="E25" s="65"/>
      <c r="F25" s="72" t="s">
        <v>164</v>
      </c>
      <c r="G25" s="72">
        <v>150</v>
      </c>
      <c r="H25" s="77">
        <v>0.51</v>
      </c>
      <c r="I25" s="74">
        <f t="shared" si="0"/>
        <v>76.5</v>
      </c>
      <c r="J25" s="68">
        <f>I25*I13</f>
        <v>76.5</v>
      </c>
      <c r="K25" s="101"/>
    </row>
    <row r="26" spans="1:11" ht="12.75" customHeight="1">
      <c r="A26" s="65"/>
      <c r="B26" s="65"/>
      <c r="C26" s="65" t="s">
        <v>187</v>
      </c>
      <c r="D26" s="65"/>
      <c r="E26" s="65"/>
      <c r="F26" s="72" t="s">
        <v>164</v>
      </c>
      <c r="G26" s="72">
        <v>40</v>
      </c>
      <c r="H26" s="77">
        <v>0.51</v>
      </c>
      <c r="I26" s="74">
        <f t="shared" si="0"/>
        <v>20.4</v>
      </c>
      <c r="J26" s="68">
        <f>I26*I$14</f>
        <v>20.4</v>
      </c>
      <c r="K26" s="101"/>
    </row>
    <row r="27" spans="1:11" ht="12.75" customHeight="1">
      <c r="A27" s="65"/>
      <c r="B27" s="65"/>
      <c r="C27" s="65" t="s">
        <v>189</v>
      </c>
      <c r="D27" s="65"/>
      <c r="E27" s="65"/>
      <c r="F27" s="72" t="s">
        <v>164</v>
      </c>
      <c r="G27" s="72">
        <v>60</v>
      </c>
      <c r="H27" s="77">
        <v>0.51</v>
      </c>
      <c r="I27" s="74">
        <f t="shared" si="0"/>
        <v>30.6</v>
      </c>
      <c r="J27" s="68">
        <f>I27*I$14</f>
        <v>30.6</v>
      </c>
      <c r="K27" s="101"/>
    </row>
    <row r="28" spans="1:11" ht="12.75" customHeight="1">
      <c r="A28" s="65"/>
      <c r="B28" s="65"/>
      <c r="C28" s="65" t="s">
        <v>258</v>
      </c>
      <c r="D28" s="65"/>
      <c r="E28" s="65"/>
      <c r="F28" s="72" t="s">
        <v>164</v>
      </c>
      <c r="G28" s="72">
        <v>0</v>
      </c>
      <c r="H28" s="77">
        <v>0.5</v>
      </c>
      <c r="I28" s="74">
        <f t="shared" si="0"/>
        <v>0</v>
      </c>
      <c r="J28" s="68">
        <f>I28*I$14</f>
        <v>0</v>
      </c>
      <c r="K28" s="101"/>
    </row>
    <row r="29" spans="1:11" ht="12.75" customHeight="1">
      <c r="A29" s="65"/>
      <c r="B29" s="65"/>
      <c r="C29" s="65" t="s">
        <v>131</v>
      </c>
      <c r="D29" s="65"/>
      <c r="E29" s="65"/>
      <c r="F29" s="72" t="s">
        <v>97</v>
      </c>
      <c r="G29" s="72">
        <v>4</v>
      </c>
      <c r="H29" s="74">
        <v>2</v>
      </c>
      <c r="I29" s="74">
        <f t="shared" si="0"/>
        <v>8</v>
      </c>
      <c r="J29" s="68">
        <f>I29*I$14</f>
        <v>8</v>
      </c>
      <c r="K29" s="101"/>
    </row>
    <row r="30" spans="1:11" ht="12.75" customHeight="1">
      <c r="A30" s="65"/>
      <c r="B30" s="65"/>
      <c r="C30" s="65" t="s">
        <v>130</v>
      </c>
      <c r="D30" s="65"/>
      <c r="E30" s="65"/>
      <c r="F30" s="72" t="s">
        <v>97</v>
      </c>
      <c r="G30" s="72">
        <v>3</v>
      </c>
      <c r="H30" s="74">
        <v>1.5</v>
      </c>
      <c r="I30" s="74">
        <f t="shared" si="0"/>
        <v>4.5</v>
      </c>
      <c r="J30" s="68">
        <f>I30*I$14</f>
        <v>4.5</v>
      </c>
      <c r="K30" s="101"/>
    </row>
    <row r="31" spans="1:11" ht="12.75" customHeight="1">
      <c r="A31" s="65"/>
      <c r="B31" s="65"/>
      <c r="C31" s="65" t="s">
        <v>135</v>
      </c>
      <c r="D31" s="65"/>
      <c r="E31" s="65"/>
      <c r="F31" s="72" t="s">
        <v>97</v>
      </c>
      <c r="G31" s="72">
        <v>10</v>
      </c>
      <c r="H31" s="74">
        <v>15</v>
      </c>
      <c r="I31" s="74">
        <f t="shared" si="0"/>
        <v>150</v>
      </c>
      <c r="J31" s="68">
        <f>I31*I13</f>
        <v>150</v>
      </c>
      <c r="K31" s="101"/>
    </row>
    <row r="32" spans="1:11" ht="12.75" customHeight="1">
      <c r="A32" s="65"/>
      <c r="B32" s="65"/>
      <c r="C32" s="65" t="s">
        <v>142</v>
      </c>
      <c r="D32" s="65"/>
      <c r="E32" s="65"/>
      <c r="F32" s="72" t="s">
        <v>97</v>
      </c>
      <c r="G32" s="72">
        <v>4</v>
      </c>
      <c r="H32" s="74">
        <v>25</v>
      </c>
      <c r="I32" s="74">
        <f t="shared" si="0"/>
        <v>100</v>
      </c>
      <c r="J32" s="68">
        <f>I32*I$14</f>
        <v>100</v>
      </c>
      <c r="K32" s="101"/>
    </row>
    <row r="33" spans="1:11" ht="12.75" customHeight="1">
      <c r="A33" s="65"/>
      <c r="B33" s="65"/>
      <c r="C33" s="65" t="s">
        <v>259</v>
      </c>
      <c r="D33" s="65"/>
      <c r="E33" s="65"/>
      <c r="F33" s="72" t="s">
        <v>97</v>
      </c>
      <c r="G33" s="72">
        <v>4</v>
      </c>
      <c r="H33" s="74">
        <v>28</v>
      </c>
      <c r="I33" s="74">
        <f t="shared" si="0"/>
        <v>112</v>
      </c>
      <c r="J33" s="68">
        <f>I33*I$14</f>
        <v>112</v>
      </c>
      <c r="K33" s="101"/>
    </row>
    <row r="34" spans="1:11" ht="12.75" customHeight="1">
      <c r="A34" s="65"/>
      <c r="B34" s="65"/>
      <c r="C34" s="65" t="s">
        <v>161</v>
      </c>
      <c r="D34" s="65"/>
      <c r="E34" s="65"/>
      <c r="F34" s="72" t="s">
        <v>144</v>
      </c>
      <c r="G34" s="74">
        <v>25</v>
      </c>
      <c r="H34" s="74">
        <v>10</v>
      </c>
      <c r="I34" s="74">
        <f t="shared" si="0"/>
        <v>250</v>
      </c>
      <c r="J34" s="68">
        <f>I34*I$14</f>
        <v>250</v>
      </c>
      <c r="K34" s="101"/>
    </row>
    <row r="35" spans="1:11" ht="12.75" customHeight="1">
      <c r="A35" s="65"/>
      <c r="B35" s="65"/>
      <c r="C35" s="65" t="s">
        <v>260</v>
      </c>
      <c r="D35" s="65"/>
      <c r="E35" s="65"/>
      <c r="F35" s="72" t="s">
        <v>136</v>
      </c>
      <c r="G35" s="74">
        <v>62</v>
      </c>
      <c r="H35" s="74">
        <v>2.5</v>
      </c>
      <c r="I35" s="74">
        <f t="shared" si="0"/>
        <v>155</v>
      </c>
      <c r="J35" s="68">
        <f>I35*I13</f>
        <v>155</v>
      </c>
      <c r="K35" s="101"/>
    </row>
    <row r="36" spans="1:11" ht="12.75" customHeight="1">
      <c r="A36" s="65"/>
      <c r="B36" s="65"/>
      <c r="C36" s="65" t="s">
        <v>57</v>
      </c>
      <c r="D36" s="65"/>
      <c r="E36" s="65"/>
      <c r="F36" s="72" t="s">
        <v>87</v>
      </c>
      <c r="G36" s="72">
        <v>1</v>
      </c>
      <c r="H36" s="74">
        <v>80</v>
      </c>
      <c r="I36" s="74">
        <f t="shared" si="0"/>
        <v>80</v>
      </c>
      <c r="J36" s="68">
        <f>I36*I13</f>
        <v>80</v>
      </c>
      <c r="K36" s="101"/>
    </row>
    <row r="37" spans="1:11" ht="12.75" customHeight="1">
      <c r="A37" s="65"/>
      <c r="B37" s="65"/>
      <c r="C37" s="78" t="s">
        <v>295</v>
      </c>
      <c r="D37" s="65"/>
      <c r="E37" s="65"/>
      <c r="F37" s="72" t="s">
        <v>87</v>
      </c>
      <c r="G37" s="72">
        <v>1</v>
      </c>
      <c r="H37" s="74">
        <v>82.5</v>
      </c>
      <c r="I37" s="74">
        <f t="shared" si="0"/>
        <v>82.5</v>
      </c>
      <c r="J37" s="68">
        <f>I37*I13</f>
        <v>82.5</v>
      </c>
      <c r="K37" s="101"/>
    </row>
    <row r="38" spans="1:11" ht="12.75" customHeight="1">
      <c r="A38" s="65"/>
      <c r="B38" s="65"/>
      <c r="C38" s="65" t="s">
        <v>261</v>
      </c>
      <c r="D38" s="65"/>
      <c r="E38" s="65"/>
      <c r="F38" s="72" t="s">
        <v>87</v>
      </c>
      <c r="G38" s="72">
        <v>1</v>
      </c>
      <c r="H38" s="74">
        <f>Drip!I45</f>
        <v>32.943639999999995</v>
      </c>
      <c r="I38" s="74">
        <f t="shared" si="0"/>
        <v>32.943639999999995</v>
      </c>
      <c r="J38" s="68">
        <f>I38*I13</f>
        <v>32.943639999999995</v>
      </c>
      <c r="K38" s="101"/>
    </row>
    <row r="39" spans="1:11" ht="12.75" customHeight="1">
      <c r="A39" s="65"/>
      <c r="B39" s="65"/>
      <c r="C39" s="65" t="s">
        <v>154</v>
      </c>
      <c r="D39" s="65"/>
      <c r="E39" s="65"/>
      <c r="F39" s="72" t="s">
        <v>63</v>
      </c>
      <c r="G39" s="74">
        <f>SUM(I24:I37)</f>
        <v>1084.5</v>
      </c>
      <c r="H39" s="74">
        <v>0.065</v>
      </c>
      <c r="I39" s="117">
        <f>G39*H39/2</f>
        <v>35.24625</v>
      </c>
      <c r="J39" s="118">
        <f>I39*I13</f>
        <v>35.24625</v>
      </c>
      <c r="K39" s="101"/>
    </row>
    <row r="40" spans="1:11" ht="12.75" customHeight="1" thickBot="1">
      <c r="A40" s="65"/>
      <c r="B40" s="67" t="s">
        <v>192</v>
      </c>
      <c r="C40" s="65"/>
      <c r="D40" s="65"/>
      <c r="E40" s="65"/>
      <c r="F40" s="72"/>
      <c r="G40" s="72"/>
      <c r="H40" s="72"/>
      <c r="I40" s="119">
        <f>SUM(I23:I38)</f>
        <v>1117.44364</v>
      </c>
      <c r="J40" s="120">
        <f>I40*I13</f>
        <v>1117.44364</v>
      </c>
      <c r="K40" s="121"/>
    </row>
    <row r="41" spans="1:11" ht="12.75" customHeight="1" thickTop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79" t="s">
        <v>0</v>
      </c>
    </row>
    <row r="42" spans="1:11" ht="12.75" customHeight="1">
      <c r="A42" s="65"/>
      <c r="B42" s="80" t="s">
        <v>139</v>
      </c>
      <c r="C42" s="78"/>
      <c r="D42" s="78"/>
      <c r="E42" s="78"/>
      <c r="F42" s="81" t="s">
        <v>242</v>
      </c>
      <c r="G42" s="81" t="s">
        <v>198</v>
      </c>
      <c r="H42" s="81" t="s">
        <v>193</v>
      </c>
      <c r="I42" s="82" t="s">
        <v>64</v>
      </c>
      <c r="J42" s="81" t="s">
        <v>221</v>
      </c>
      <c r="K42" s="134" t="s">
        <v>325</v>
      </c>
    </row>
    <row r="43" spans="1:11" ht="12.75" customHeight="1">
      <c r="A43" s="65"/>
      <c r="B43" s="78"/>
      <c r="C43" s="78" t="s">
        <v>296</v>
      </c>
      <c r="D43" s="78"/>
      <c r="E43" s="78"/>
      <c r="F43" s="83" t="s">
        <v>87</v>
      </c>
      <c r="G43" s="84">
        <v>1</v>
      </c>
      <c r="H43" s="84">
        <v>74</v>
      </c>
      <c r="I43" s="84">
        <f>G43*H43</f>
        <v>74</v>
      </c>
      <c r="J43" s="85">
        <f>I43*I13</f>
        <v>74</v>
      </c>
      <c r="K43" s="116" t="s">
        <v>0</v>
      </c>
    </row>
    <row r="44" spans="1:11" ht="12.75" customHeight="1">
      <c r="A44" s="65"/>
      <c r="B44" s="78"/>
      <c r="C44" s="78" t="s">
        <v>108</v>
      </c>
      <c r="D44" s="78"/>
      <c r="E44" s="78"/>
      <c r="F44" s="83" t="s">
        <v>87</v>
      </c>
      <c r="G44" s="83">
        <f>MEDY</f>
        <v>1000</v>
      </c>
      <c r="H44" s="84">
        <v>0.14</v>
      </c>
      <c r="I44" s="84">
        <f>H44*G44</f>
        <v>140</v>
      </c>
      <c r="J44" s="85">
        <f>I44*I13</f>
        <v>140</v>
      </c>
      <c r="K44" s="116" t="s">
        <v>0</v>
      </c>
    </row>
    <row r="45" spans="1:11" ht="12.75" customHeight="1">
      <c r="A45" s="65"/>
      <c r="B45" s="78"/>
      <c r="C45" s="78" t="s">
        <v>161</v>
      </c>
      <c r="D45" s="78"/>
      <c r="E45" s="78"/>
      <c r="F45" s="83" t="s">
        <v>144</v>
      </c>
      <c r="G45" s="84">
        <v>4</v>
      </c>
      <c r="H45" s="84">
        <f>H34</f>
        <v>10</v>
      </c>
      <c r="I45" s="84">
        <f>G45*H45</f>
        <v>40</v>
      </c>
      <c r="J45" s="85">
        <f>I45*I13</f>
        <v>40</v>
      </c>
      <c r="K45" s="116" t="s">
        <v>0</v>
      </c>
    </row>
    <row r="46" spans="1:11" ht="12.75" customHeight="1">
      <c r="A46" s="65"/>
      <c r="B46" s="78"/>
      <c r="C46" s="78" t="s">
        <v>102</v>
      </c>
      <c r="D46" s="78"/>
      <c r="E46" s="78"/>
      <c r="F46" s="83" t="s">
        <v>164</v>
      </c>
      <c r="G46" s="83">
        <f>MEDY</f>
        <v>1000</v>
      </c>
      <c r="H46" s="84">
        <v>0.12</v>
      </c>
      <c r="I46" s="84">
        <f>G46*H46</f>
        <v>120</v>
      </c>
      <c r="J46" s="85">
        <f>I46*I13</f>
        <v>120</v>
      </c>
      <c r="K46" s="116" t="s">
        <v>0</v>
      </c>
    </row>
    <row r="47" spans="1:11" ht="12.75" customHeight="1">
      <c r="A47" s="65"/>
      <c r="B47" s="78"/>
      <c r="C47" s="78" t="s">
        <v>271</v>
      </c>
      <c r="D47" s="78"/>
      <c r="E47" s="78"/>
      <c r="F47" s="83" t="s">
        <v>164</v>
      </c>
      <c r="G47" s="83">
        <f>MEDY</f>
        <v>1000</v>
      </c>
      <c r="H47" s="84">
        <v>0.03</v>
      </c>
      <c r="I47" s="84">
        <f>G47*H47</f>
        <v>30</v>
      </c>
      <c r="J47" s="85">
        <f>I47*I14</f>
        <v>30</v>
      </c>
      <c r="K47" s="116" t="s">
        <v>0</v>
      </c>
    </row>
    <row r="48" spans="1:11" ht="12.75" customHeight="1">
      <c r="A48" s="65"/>
      <c r="B48" s="78"/>
      <c r="C48" s="78" t="s">
        <v>270</v>
      </c>
      <c r="D48" s="78"/>
      <c r="E48" s="78"/>
      <c r="F48" s="83" t="s">
        <v>164</v>
      </c>
      <c r="G48" s="83">
        <v>1000</v>
      </c>
      <c r="H48" s="83">
        <v>0.01</v>
      </c>
      <c r="I48" s="127">
        <f>G48*H48</f>
        <v>10</v>
      </c>
      <c r="J48" s="128">
        <f>I48*I14</f>
        <v>10</v>
      </c>
      <c r="K48" s="116" t="s">
        <v>0</v>
      </c>
    </row>
    <row r="49" spans="1:11" ht="12.75" customHeight="1" thickBot="1">
      <c r="A49" s="65"/>
      <c r="B49" s="80" t="s">
        <v>230</v>
      </c>
      <c r="C49" s="78"/>
      <c r="D49" s="78"/>
      <c r="E49" s="78"/>
      <c r="F49" s="86"/>
      <c r="G49" s="86"/>
      <c r="H49" s="78"/>
      <c r="I49" s="125">
        <f>SUM(I43:I48)</f>
        <v>414</v>
      </c>
      <c r="J49" s="126">
        <f>SUM(J43:J48)</f>
        <v>414</v>
      </c>
      <c r="K49" s="124" t="s">
        <v>0</v>
      </c>
    </row>
    <row r="50" spans="1:11" ht="12.75" customHeight="1" thickBot="1" thickTop="1">
      <c r="A50" s="65"/>
      <c r="B50" s="67" t="s">
        <v>237</v>
      </c>
      <c r="C50" s="65"/>
      <c r="D50" s="65"/>
      <c r="E50" s="65"/>
      <c r="F50" s="72"/>
      <c r="G50" s="72"/>
      <c r="H50" s="72"/>
      <c r="I50" s="122">
        <f>I40+I49</f>
        <v>1531.44364</v>
      </c>
      <c r="J50" s="123">
        <f>I50*I13</f>
        <v>1531.44364</v>
      </c>
      <c r="K50" s="124" t="s">
        <v>0</v>
      </c>
    </row>
    <row r="51" spans="1:11" ht="12.75" customHeight="1" thickTop="1">
      <c r="A51" s="65"/>
      <c r="B51" s="65"/>
      <c r="C51" s="65"/>
      <c r="D51" s="65"/>
      <c r="E51" s="65"/>
      <c r="F51" s="72"/>
      <c r="G51" s="72"/>
      <c r="H51" s="72"/>
      <c r="I51" s="72"/>
      <c r="J51" s="72"/>
      <c r="K51" s="79" t="s">
        <v>0</v>
      </c>
    </row>
    <row r="52" spans="1:40" ht="12.75" customHeight="1">
      <c r="A52" s="65"/>
      <c r="B52" s="65"/>
      <c r="C52" s="65"/>
      <c r="D52" s="65"/>
      <c r="E52" s="65"/>
      <c r="F52" s="72"/>
      <c r="G52" s="72"/>
      <c r="H52" s="72"/>
      <c r="I52" s="72"/>
      <c r="J52" s="72"/>
      <c r="K52" s="79"/>
      <c r="AN52" s="65" t="s">
        <v>109</v>
      </c>
    </row>
    <row r="53" spans="1:11" ht="12.75" customHeight="1">
      <c r="A53" s="65"/>
      <c r="B53" s="67" t="s">
        <v>127</v>
      </c>
      <c r="C53" s="67"/>
      <c r="D53" s="65"/>
      <c r="E53" s="65"/>
      <c r="F53" s="81" t="s">
        <v>242</v>
      </c>
      <c r="G53" s="81" t="s">
        <v>198</v>
      </c>
      <c r="H53" s="81" t="s">
        <v>193</v>
      </c>
      <c r="I53" s="82" t="s">
        <v>64</v>
      </c>
      <c r="J53" s="81" t="s">
        <v>221</v>
      </c>
      <c r="K53" s="81" t="s">
        <v>325</v>
      </c>
    </row>
    <row r="54" spans="1:11" ht="12.75" customHeight="1">
      <c r="A54" s="65"/>
      <c r="B54" s="65"/>
      <c r="C54" s="65" t="s">
        <v>238</v>
      </c>
      <c r="D54" s="65"/>
      <c r="E54" s="65"/>
      <c r="F54" s="72" t="s">
        <v>144</v>
      </c>
      <c r="G54" s="74">
        <v>1</v>
      </c>
      <c r="H54" s="74">
        <f>FxdCost!I35</f>
        <v>210.881852</v>
      </c>
      <c r="I54" s="74">
        <f>G54*H54</f>
        <v>210.881852</v>
      </c>
      <c r="J54" s="66">
        <f>I13*I54</f>
        <v>210.881852</v>
      </c>
      <c r="K54" s="116" t="s">
        <v>0</v>
      </c>
    </row>
    <row r="55" spans="1:11" ht="12.75" customHeight="1">
      <c r="A55" s="65"/>
      <c r="B55" s="65"/>
      <c r="C55" s="65" t="s">
        <v>157</v>
      </c>
      <c r="D55" s="65"/>
      <c r="E55" s="65"/>
      <c r="F55" s="72" t="s">
        <v>87</v>
      </c>
      <c r="G55" s="74">
        <v>1</v>
      </c>
      <c r="H55" s="74">
        <f>+Drip!I45</f>
        <v>32.943639999999995</v>
      </c>
      <c r="I55" s="74">
        <f>G55*H55</f>
        <v>32.943639999999995</v>
      </c>
      <c r="J55" s="66">
        <f>I13*I55</f>
        <v>32.943639999999995</v>
      </c>
      <c r="K55" s="116" t="s">
        <v>0</v>
      </c>
    </row>
    <row r="56" spans="1:11" ht="12.75" customHeight="1">
      <c r="A56" s="65"/>
      <c r="B56" s="65"/>
      <c r="C56" s="65" t="s">
        <v>182</v>
      </c>
      <c r="D56" s="65"/>
      <c r="E56" s="65"/>
      <c r="F56" s="72" t="s">
        <v>63</v>
      </c>
      <c r="G56" s="68">
        <f>I40</f>
        <v>1117.44364</v>
      </c>
      <c r="H56" s="74">
        <v>0.15</v>
      </c>
      <c r="I56" s="117">
        <f>G56*H56</f>
        <v>167.616546</v>
      </c>
      <c r="J56" s="129">
        <f>I13*I56</f>
        <v>167.616546</v>
      </c>
      <c r="K56" s="116" t="s">
        <v>0</v>
      </c>
    </row>
    <row r="57" spans="1:11" ht="12.75" customHeight="1" thickBot="1">
      <c r="A57" s="65"/>
      <c r="B57" s="67" t="s">
        <v>227</v>
      </c>
      <c r="C57" s="65"/>
      <c r="D57" s="65"/>
      <c r="E57" s="65"/>
      <c r="F57" s="72"/>
      <c r="G57" s="72"/>
      <c r="H57" s="72"/>
      <c r="I57" s="119">
        <f>SUM(I54:I56)</f>
        <v>411.442038</v>
      </c>
      <c r="J57" s="130">
        <f>I13*I57</f>
        <v>411.442038</v>
      </c>
      <c r="K57" s="121"/>
    </row>
    <row r="58" spans="1:11" ht="12.75" customHeight="1" thickTop="1">
      <c r="A58" s="65"/>
      <c r="B58" s="65"/>
      <c r="C58" s="65"/>
      <c r="D58" s="65"/>
      <c r="E58" s="65"/>
      <c r="F58" s="65"/>
      <c r="G58" s="72"/>
      <c r="H58" s="72"/>
      <c r="I58" s="68" t="s">
        <v>0</v>
      </c>
      <c r="J58" s="72"/>
      <c r="K58" s="72"/>
    </row>
    <row r="59" spans="1:11" ht="15" customHeight="1">
      <c r="A59" s="65"/>
      <c r="B59" s="67" t="s">
        <v>225</v>
      </c>
      <c r="C59" s="65"/>
      <c r="D59" s="65"/>
      <c r="E59" s="65"/>
      <c r="F59" s="65"/>
      <c r="G59" s="72"/>
      <c r="H59" s="72"/>
      <c r="I59" s="70">
        <f>I40+I49+I57</f>
        <v>1942.885678</v>
      </c>
      <c r="J59" s="73">
        <f>I13*I59</f>
        <v>1942.885678</v>
      </c>
      <c r="K59" s="72"/>
    </row>
    <row r="60" spans="1:11" ht="15" customHeight="1">
      <c r="A60" s="65"/>
      <c r="B60" s="65"/>
      <c r="C60" s="65"/>
      <c r="D60" s="65"/>
      <c r="E60" s="65"/>
      <c r="F60" s="65"/>
      <c r="G60" s="72"/>
      <c r="H60" s="72"/>
      <c r="I60" s="72"/>
      <c r="J60" s="72"/>
      <c r="K60" s="72"/>
    </row>
    <row r="61" spans="1:11" ht="15" customHeight="1">
      <c r="A61" s="65"/>
      <c r="B61" s="65"/>
      <c r="C61" s="140" t="s">
        <v>101</v>
      </c>
      <c r="D61" s="140"/>
      <c r="E61" s="140"/>
      <c r="F61" s="140"/>
      <c r="G61" s="140"/>
      <c r="H61" s="140"/>
      <c r="I61" s="140"/>
      <c r="J61" s="140"/>
      <c r="K61" s="72"/>
    </row>
    <row r="62" spans="1:17" ht="15" customHeight="1">
      <c r="A62" s="65"/>
      <c r="B62" s="65"/>
      <c r="C62" s="78" t="s">
        <v>331</v>
      </c>
      <c r="D62" s="65"/>
      <c r="E62" s="65"/>
      <c r="F62" s="65"/>
      <c r="G62" s="72"/>
      <c r="H62" s="72"/>
      <c r="I62" s="74">
        <f>I40/G18</f>
        <v>1.1174436399999998</v>
      </c>
      <c r="J62" s="72"/>
      <c r="K62" s="72"/>
      <c r="L62" s="65" t="s">
        <v>71</v>
      </c>
      <c r="M62" s="65" t="s">
        <v>71</v>
      </c>
      <c r="Q62" s="65" t="s">
        <v>71</v>
      </c>
    </row>
    <row r="63" spans="1:17" ht="15" customHeight="1">
      <c r="A63" s="65"/>
      <c r="B63" s="65"/>
      <c r="C63" s="78" t="s">
        <v>332</v>
      </c>
      <c r="D63" s="65"/>
      <c r="E63" s="65"/>
      <c r="F63" s="65"/>
      <c r="G63" s="72"/>
      <c r="H63" s="72"/>
      <c r="I63" s="74">
        <f>I49/G18</f>
        <v>0.414</v>
      </c>
      <c r="J63" s="72"/>
      <c r="K63" s="72"/>
      <c r="L63" s="65" t="s">
        <v>71</v>
      </c>
      <c r="M63" s="65" t="s">
        <v>3</v>
      </c>
      <c r="Q63" s="65" t="s">
        <v>71</v>
      </c>
    </row>
    <row r="64" spans="1:17" ht="15" customHeight="1">
      <c r="A64" s="65"/>
      <c r="B64" s="65"/>
      <c r="C64" s="78" t="s">
        <v>333</v>
      </c>
      <c r="D64" s="65"/>
      <c r="E64" s="65"/>
      <c r="F64" s="65"/>
      <c r="G64" s="72"/>
      <c r="H64" s="72"/>
      <c r="I64" s="74">
        <f>I57/G18</f>
        <v>0.411442038</v>
      </c>
      <c r="J64" s="72"/>
      <c r="K64" s="72"/>
      <c r="L64" s="65" t="s">
        <v>71</v>
      </c>
      <c r="M64" s="65" t="s">
        <v>1</v>
      </c>
      <c r="Q64" s="65" t="s">
        <v>71</v>
      </c>
    </row>
    <row r="65" spans="1:17" ht="15" customHeight="1">
      <c r="A65" s="65"/>
      <c r="B65" s="67"/>
      <c r="C65" s="78" t="s">
        <v>334</v>
      </c>
      <c r="D65" s="65"/>
      <c r="E65" s="65"/>
      <c r="F65" s="65"/>
      <c r="G65" s="72"/>
      <c r="H65" s="72"/>
      <c r="I65" s="70">
        <f>UNITCOST/MEDP</f>
        <v>971.442839</v>
      </c>
      <c r="J65" s="72"/>
      <c r="K65" s="72"/>
      <c r="L65" s="65" t="s">
        <v>71</v>
      </c>
      <c r="M65" s="76">
        <f>I13</f>
        <v>1</v>
      </c>
      <c r="N65" s="65" t="s">
        <v>6</v>
      </c>
      <c r="Q65" s="65" t="s">
        <v>71</v>
      </c>
    </row>
    <row r="66" spans="1:17" ht="15" customHeight="1">
      <c r="A66" s="65"/>
      <c r="B66" s="65"/>
      <c r="C66" s="65"/>
      <c r="D66" s="65"/>
      <c r="E66" s="65"/>
      <c r="F66" s="65"/>
      <c r="G66" s="72"/>
      <c r="H66" s="72"/>
      <c r="I66" s="87"/>
      <c r="J66" s="72"/>
      <c r="K66" s="72"/>
      <c r="L66" s="65" t="s">
        <v>71</v>
      </c>
      <c r="M66" s="76">
        <f>E18</f>
        <v>1400</v>
      </c>
      <c r="N66" s="65" t="s">
        <v>8</v>
      </c>
      <c r="O66" s="63">
        <f>E19</f>
        <v>2.6</v>
      </c>
      <c r="P66" s="65" t="s">
        <v>7</v>
      </c>
      <c r="Q66" s="65" t="s">
        <v>71</v>
      </c>
    </row>
    <row r="67" spans="1:17" ht="15" customHeight="1">
      <c r="A67" s="65"/>
      <c r="B67" s="65"/>
      <c r="C67" s="65"/>
      <c r="D67" s="65"/>
      <c r="E67" s="65"/>
      <c r="F67" s="65"/>
      <c r="G67" s="72"/>
      <c r="H67" s="72"/>
      <c r="I67" s="72"/>
      <c r="J67" s="72"/>
      <c r="K67" s="72"/>
      <c r="L67" s="65" t="s">
        <v>71</v>
      </c>
      <c r="M67" s="76">
        <f>F18</f>
        <v>1200</v>
      </c>
      <c r="N67" s="65" t="s">
        <v>25</v>
      </c>
      <c r="O67" s="63">
        <f>F19</f>
        <v>2.3</v>
      </c>
      <c r="P67" s="65" t="s">
        <v>24</v>
      </c>
      <c r="Q67" s="65" t="s">
        <v>71</v>
      </c>
    </row>
    <row r="68" spans="1:15" ht="15" customHeight="1">
      <c r="A68" s="65"/>
      <c r="B68" s="65" t="s">
        <v>312</v>
      </c>
      <c r="C68" s="65"/>
      <c r="D68" s="65"/>
      <c r="E68" s="65"/>
      <c r="F68" s="65"/>
      <c r="G68" s="72"/>
      <c r="H68" s="72"/>
      <c r="I68" s="72"/>
      <c r="J68" s="72"/>
      <c r="K68" s="72"/>
      <c r="M68" s="76"/>
      <c r="O68" s="63"/>
    </row>
    <row r="69" spans="1:17" ht="15" customHeight="1">
      <c r="A69" s="65"/>
      <c r="B69" s="65"/>
      <c r="C69" s="65"/>
      <c r="D69" s="65"/>
      <c r="E69" s="65"/>
      <c r="F69" s="65"/>
      <c r="G69" s="72"/>
      <c r="H69" s="72"/>
      <c r="I69" s="72"/>
      <c r="J69" s="72"/>
      <c r="K69" s="72"/>
      <c r="L69" s="65" t="s">
        <v>71</v>
      </c>
      <c r="M69" s="76">
        <f>G18</f>
        <v>1000</v>
      </c>
      <c r="N69" s="65" t="s">
        <v>18</v>
      </c>
      <c r="O69" s="63">
        <f>G19</f>
        <v>2</v>
      </c>
      <c r="P69" s="65" t="s">
        <v>17</v>
      </c>
      <c r="Q69" s="65" t="s">
        <v>71</v>
      </c>
    </row>
    <row r="70" spans="1:17" ht="15" customHeight="1">
      <c r="A70" s="65"/>
      <c r="B70" s="65"/>
      <c r="C70" s="65"/>
      <c r="D70" s="65"/>
      <c r="E70" s="65"/>
      <c r="F70" s="65"/>
      <c r="G70" s="72"/>
      <c r="H70" s="72"/>
      <c r="I70" s="72"/>
      <c r="J70" s="72"/>
      <c r="K70" s="72"/>
      <c r="L70" s="65" t="s">
        <v>71</v>
      </c>
      <c r="M70" s="76">
        <f>H18</f>
        <v>600</v>
      </c>
      <c r="N70" s="65" t="s">
        <v>28</v>
      </c>
      <c r="O70" s="63">
        <f>H19</f>
        <v>1.7</v>
      </c>
      <c r="P70" s="65" t="s">
        <v>27</v>
      </c>
      <c r="Q70" s="65" t="s">
        <v>71</v>
      </c>
    </row>
    <row r="71" spans="1:17" ht="15" customHeight="1">
      <c r="A71" s="65"/>
      <c r="B71" s="65"/>
      <c r="C71" s="65"/>
      <c r="D71" s="65"/>
      <c r="E71" s="65"/>
      <c r="F71" s="65"/>
      <c r="G71" s="88"/>
      <c r="H71" s="72"/>
      <c r="I71" s="72"/>
      <c r="J71" s="72"/>
      <c r="K71" s="72"/>
      <c r="L71" s="65" t="s">
        <v>71</v>
      </c>
      <c r="M71" s="76">
        <f>I18</f>
        <v>300</v>
      </c>
      <c r="N71" s="65" t="s">
        <v>51</v>
      </c>
      <c r="O71" s="63">
        <f>I19</f>
        <v>1.4</v>
      </c>
      <c r="P71" s="65" t="s">
        <v>50</v>
      </c>
      <c r="Q71" s="65" t="s">
        <v>71</v>
      </c>
    </row>
    <row r="72" spans="1:17" ht="15" customHeight="1">
      <c r="A72" s="65"/>
      <c r="B72" s="65"/>
      <c r="C72" s="143" t="s">
        <v>123</v>
      </c>
      <c r="D72" s="143"/>
      <c r="E72" s="143"/>
      <c r="F72" s="143"/>
      <c r="G72" s="143"/>
      <c r="H72" s="143"/>
      <c r="I72" s="143"/>
      <c r="J72" s="72"/>
      <c r="K72" s="72"/>
      <c r="L72" s="65" t="s">
        <v>71</v>
      </c>
      <c r="M72" s="63">
        <f>I63</f>
        <v>0.414</v>
      </c>
      <c r="N72" s="65" t="s">
        <v>16</v>
      </c>
      <c r="Q72" s="65" t="s">
        <v>71</v>
      </c>
    </row>
    <row r="73" spans="1:17" ht="15" customHeight="1">
      <c r="A73" s="65"/>
      <c r="B73" s="65"/>
      <c r="C73" s="65"/>
      <c r="D73" s="65"/>
      <c r="E73" s="65"/>
      <c r="F73" s="65"/>
      <c r="G73" s="69" t="s">
        <v>0</v>
      </c>
      <c r="H73" s="69"/>
      <c r="I73" s="72"/>
      <c r="J73" s="72"/>
      <c r="K73" s="72"/>
      <c r="L73" s="65" t="s">
        <v>71</v>
      </c>
      <c r="M73" s="63">
        <f>I40+I57</f>
        <v>1528.885678</v>
      </c>
      <c r="N73" s="65" t="s">
        <v>41</v>
      </c>
      <c r="Q73" s="65" t="s">
        <v>71</v>
      </c>
    </row>
    <row r="74" spans="1:17" ht="15" customHeight="1">
      <c r="A74" s="65"/>
      <c r="B74" s="65"/>
      <c r="C74" s="65"/>
      <c r="D74" s="65"/>
      <c r="E74" s="65"/>
      <c r="F74" s="65"/>
      <c r="G74" s="72"/>
      <c r="H74" s="72"/>
      <c r="I74" s="72"/>
      <c r="J74" s="72"/>
      <c r="K74" s="72"/>
      <c r="L74" s="65" t="s">
        <v>71</v>
      </c>
      <c r="M74" s="65" t="s">
        <v>71</v>
      </c>
      <c r="Q74" s="65" t="s">
        <v>71</v>
      </c>
    </row>
    <row r="75" spans="1:17" ht="15" customHeight="1">
      <c r="A75" s="65"/>
      <c r="B75" s="65"/>
      <c r="C75" s="80" t="s">
        <v>0</v>
      </c>
      <c r="D75" s="80" t="s">
        <v>122</v>
      </c>
      <c r="E75" s="80"/>
      <c r="F75" s="80" t="s">
        <v>248</v>
      </c>
      <c r="G75" s="81"/>
      <c r="H75" s="141" t="s">
        <v>335</v>
      </c>
      <c r="I75" s="141"/>
      <c r="J75" s="131" t="s">
        <v>222</v>
      </c>
      <c r="K75" s="81"/>
      <c r="L75" s="65" t="s">
        <v>76</v>
      </c>
      <c r="M75" s="65" t="s">
        <v>1</v>
      </c>
      <c r="Q75" s="65" t="s">
        <v>76</v>
      </c>
    </row>
    <row r="76" spans="1:17" ht="15" customHeight="1">
      <c r="A76" s="65"/>
      <c r="B76" s="65"/>
      <c r="C76" s="80" t="s">
        <v>89</v>
      </c>
      <c r="D76" s="80" t="s">
        <v>253</v>
      </c>
      <c r="E76" s="80"/>
      <c r="F76" s="80" t="s">
        <v>171</v>
      </c>
      <c r="G76" s="81"/>
      <c r="H76" s="89" t="s">
        <v>194</v>
      </c>
      <c r="I76" s="89" t="s">
        <v>0</v>
      </c>
      <c r="J76" s="131" t="s">
        <v>206</v>
      </c>
      <c r="K76" s="81" t="s">
        <v>2</v>
      </c>
      <c r="L76" s="65" t="s">
        <v>76</v>
      </c>
      <c r="N76" s="65" t="s">
        <v>105</v>
      </c>
      <c r="Q76" s="65" t="s">
        <v>76</v>
      </c>
    </row>
    <row r="77" spans="1:17" ht="15" customHeight="1">
      <c r="A77" s="65"/>
      <c r="B77" s="65"/>
      <c r="C77" s="65"/>
      <c r="D77" s="65"/>
      <c r="E77" s="65"/>
      <c r="F77" s="65"/>
      <c r="G77" s="72"/>
      <c r="H77" s="72"/>
      <c r="I77" s="72"/>
      <c r="J77" s="72"/>
      <c r="K77" s="72"/>
      <c r="L77" s="65" t="s">
        <v>76</v>
      </c>
      <c r="M77" s="65" t="s">
        <v>1</v>
      </c>
      <c r="Q77" s="65" t="s">
        <v>76</v>
      </c>
    </row>
    <row r="78" spans="1:17" ht="15" customHeight="1">
      <c r="A78" s="65"/>
      <c r="B78" s="65"/>
      <c r="C78" s="76">
        <f>I13</f>
        <v>1</v>
      </c>
      <c r="D78" s="76">
        <f>MEDY</f>
        <v>1000</v>
      </c>
      <c r="E78" s="65"/>
      <c r="F78" s="76">
        <f>MEDY</f>
        <v>1000</v>
      </c>
      <c r="G78" s="72"/>
      <c r="H78" s="74">
        <f>MEDP</f>
        <v>2</v>
      </c>
      <c r="I78" s="72"/>
      <c r="J78" s="68">
        <f>F78*O78</f>
        <v>2000</v>
      </c>
      <c r="K78" s="72"/>
      <c r="L78" s="65" t="s">
        <v>76</v>
      </c>
      <c r="M78" s="76">
        <f>0.04*M66+0.25*M67+0.42*M69+0.25*M70+0.04*M71</f>
        <v>938</v>
      </c>
      <c r="N78" s="65" t="s">
        <v>14</v>
      </c>
      <c r="O78" s="65">
        <f>0.04*O66+0.25*O67+0.42*O69+0.25*O70+0.04*O71</f>
        <v>2</v>
      </c>
      <c r="P78" s="65" t="s">
        <v>13</v>
      </c>
      <c r="Q78" s="65" t="s">
        <v>76</v>
      </c>
    </row>
    <row r="79" spans="1:17" ht="15" customHeight="1">
      <c r="A79" s="65"/>
      <c r="B79" s="65"/>
      <c r="C79" s="65"/>
      <c r="D79" s="65"/>
      <c r="E79" s="65"/>
      <c r="F79" s="65"/>
      <c r="G79" s="72"/>
      <c r="H79" s="72"/>
      <c r="I79" s="72"/>
      <c r="J79" s="72"/>
      <c r="K79" s="72"/>
      <c r="L79" s="65" t="s">
        <v>76</v>
      </c>
      <c r="M79" s="65">
        <f>0.25*(M66-M78)+0.5*(M67-M78)</f>
        <v>246.5</v>
      </c>
      <c r="N79" s="65" t="s">
        <v>39</v>
      </c>
      <c r="O79" s="65">
        <f>0.25*(O66-O78)+0.5*(O67-O78)</f>
        <v>0.29999999999999993</v>
      </c>
      <c r="P79" s="65" t="s">
        <v>31</v>
      </c>
      <c r="Q79" s="65" t="s">
        <v>76</v>
      </c>
    </row>
    <row r="80" spans="1:17" ht="15" customHeight="1" thickBot="1">
      <c r="A80" s="65"/>
      <c r="B80" s="65"/>
      <c r="C80" s="135"/>
      <c r="D80" s="135"/>
      <c r="E80" s="135"/>
      <c r="F80" s="135"/>
      <c r="G80" s="136"/>
      <c r="H80" s="136"/>
      <c r="I80" s="136"/>
      <c r="J80" s="136"/>
      <c r="K80" s="72"/>
      <c r="L80" s="65" t="s">
        <v>76</v>
      </c>
      <c r="M80" s="65">
        <f>0.25*(M78-M71)+0.5*(M78-M70)</f>
        <v>328.5</v>
      </c>
      <c r="N80" s="65" t="s">
        <v>40</v>
      </c>
      <c r="O80" s="65">
        <f>0.25*(O78-O71)+0.5*(O78-O70)</f>
        <v>0.30000000000000004</v>
      </c>
      <c r="P80" s="65" t="s">
        <v>32</v>
      </c>
      <c r="Q80" s="65" t="s">
        <v>76</v>
      </c>
    </row>
    <row r="81" spans="1:17" ht="15" customHeight="1">
      <c r="A81" s="65"/>
      <c r="B81" s="65"/>
      <c r="C81" s="65"/>
      <c r="D81" s="65"/>
      <c r="E81" s="65"/>
      <c r="F81" s="65"/>
      <c r="G81" s="72"/>
      <c r="H81" s="72"/>
      <c r="I81" s="72"/>
      <c r="J81" s="72"/>
      <c r="K81" s="72"/>
      <c r="L81" s="65" t="s">
        <v>76</v>
      </c>
      <c r="M81" s="76">
        <f>M79^2</f>
        <v>60762.25</v>
      </c>
      <c r="N81" s="65" t="s">
        <v>48</v>
      </c>
      <c r="O81" s="65">
        <f>O79^2</f>
        <v>0.08999999999999996</v>
      </c>
      <c r="P81" s="65" t="s">
        <v>42</v>
      </c>
      <c r="Q81" s="65" t="s">
        <v>76</v>
      </c>
    </row>
    <row r="82" spans="1:17" ht="15" customHeight="1">
      <c r="A82" s="65"/>
      <c r="B82" s="65"/>
      <c r="C82" s="65"/>
      <c r="D82" s="65"/>
      <c r="E82" s="65"/>
      <c r="F82" s="65"/>
      <c r="G82" s="72"/>
      <c r="H82" s="72"/>
      <c r="I82" s="72"/>
      <c r="J82" s="72"/>
      <c r="K82" s="72"/>
      <c r="L82" s="65" t="s">
        <v>76</v>
      </c>
      <c r="M82" s="76">
        <f>M80^2</f>
        <v>107912.25</v>
      </c>
      <c r="N82" s="65" t="s">
        <v>49</v>
      </c>
      <c r="O82" s="65">
        <f>O80^2</f>
        <v>0.09000000000000002</v>
      </c>
      <c r="P82" s="65" t="s">
        <v>43</v>
      </c>
      <c r="Q82" s="65" t="s">
        <v>76</v>
      </c>
    </row>
    <row r="83" spans="1:17" ht="15" customHeight="1">
      <c r="A83" s="65"/>
      <c r="B83" s="80"/>
      <c r="C83" s="142" t="s">
        <v>342</v>
      </c>
      <c r="D83" s="142"/>
      <c r="E83" s="142"/>
      <c r="F83" s="142"/>
      <c r="G83" s="142"/>
      <c r="H83" s="142"/>
      <c r="I83" s="142"/>
      <c r="J83" s="142"/>
      <c r="K83" s="72"/>
      <c r="L83" s="65" t="s">
        <v>76</v>
      </c>
      <c r="M83" s="65" t="s">
        <v>1</v>
      </c>
      <c r="Q83" s="65" t="s">
        <v>76</v>
      </c>
    </row>
    <row r="84" spans="1:17" ht="15" customHeight="1">
      <c r="A84" s="65"/>
      <c r="B84" s="65"/>
      <c r="C84" s="65"/>
      <c r="D84" s="65"/>
      <c r="E84" s="65"/>
      <c r="F84" s="65"/>
      <c r="G84" s="72"/>
      <c r="H84" s="72"/>
      <c r="I84" s="72"/>
      <c r="J84" s="72"/>
      <c r="K84" s="72"/>
      <c r="L84" s="65" t="s">
        <v>76</v>
      </c>
      <c r="M84" s="76">
        <f>(M78^2*O81)+(O78-M72)^2*M81</f>
        <v>232027.080601</v>
      </c>
      <c r="N84" s="76" t="s">
        <v>44</v>
      </c>
      <c r="O84" s="76">
        <f>(M78^2*O82)+(O78-M72)^2*M82</f>
        <v>350628.00200100004</v>
      </c>
      <c r="P84" s="65" t="s">
        <v>47</v>
      </c>
      <c r="Q84" s="65" t="s">
        <v>76</v>
      </c>
    </row>
    <row r="85" spans="1:17" ht="15" customHeight="1">
      <c r="A85" s="65"/>
      <c r="B85" s="145" t="s">
        <v>174</v>
      </c>
      <c r="C85" s="146"/>
      <c r="D85" s="146"/>
      <c r="E85" s="146"/>
      <c r="F85" s="146"/>
      <c r="G85" s="146"/>
      <c r="H85" s="146"/>
      <c r="I85" s="146"/>
      <c r="J85" s="146"/>
      <c r="K85" s="72"/>
      <c r="L85" s="65" t="s">
        <v>76</v>
      </c>
      <c r="M85" s="76">
        <f>(M78^2*O81)+(O78-M72)^2*M82</f>
        <v>350628.002001</v>
      </c>
      <c r="N85" s="76" t="s">
        <v>45</v>
      </c>
      <c r="O85" s="76">
        <f>M78^2*O82+(O78-M72)^2*M81</f>
        <v>232027.08060100005</v>
      </c>
      <c r="P85" s="65" t="s">
        <v>46</v>
      </c>
      <c r="Q85" s="65" t="s">
        <v>76</v>
      </c>
    </row>
    <row r="86" spans="1:18" ht="15" customHeight="1">
      <c r="A86" s="65"/>
      <c r="B86" s="145" t="s">
        <v>216</v>
      </c>
      <c r="C86" s="146"/>
      <c r="D86" s="146"/>
      <c r="E86" s="146"/>
      <c r="F86" s="146"/>
      <c r="G86" s="146"/>
      <c r="H86" s="146"/>
      <c r="I86" s="146"/>
      <c r="J86" s="146"/>
      <c r="K86" s="72"/>
      <c r="L86" s="65" t="s">
        <v>76</v>
      </c>
      <c r="M86" s="76">
        <f>SQRT(M84)</f>
        <v>481.6918938502079</v>
      </c>
      <c r="N86" s="76" t="s">
        <v>33</v>
      </c>
      <c r="O86" s="76">
        <f>SQRT(O84)</f>
        <v>592.138499002556</v>
      </c>
      <c r="P86" s="65" t="s">
        <v>36</v>
      </c>
      <c r="Q86" s="65" t="s">
        <v>76</v>
      </c>
      <c r="R86" s="65" t="s">
        <v>0</v>
      </c>
    </row>
    <row r="87" spans="1:17" ht="15" customHeight="1">
      <c r="A87" s="65"/>
      <c r="B87" s="146" t="s">
        <v>215</v>
      </c>
      <c r="C87" s="146"/>
      <c r="D87" s="146"/>
      <c r="E87" s="146"/>
      <c r="F87" s="146"/>
      <c r="G87" s="146"/>
      <c r="H87" s="146"/>
      <c r="I87" s="146"/>
      <c r="J87" s="146"/>
      <c r="K87" s="72"/>
      <c r="L87" s="65" t="s">
        <v>76</v>
      </c>
      <c r="M87" s="76">
        <f>SQRT(M85)</f>
        <v>592.1384990025559</v>
      </c>
      <c r="N87" s="76" t="s">
        <v>34</v>
      </c>
      <c r="O87" s="76">
        <f>SQRT(O85)</f>
        <v>481.691893850208</v>
      </c>
      <c r="P87" s="65" t="s">
        <v>35</v>
      </c>
      <c r="Q87" s="65" t="s">
        <v>76</v>
      </c>
    </row>
    <row r="88" spans="1:43" ht="15" customHeight="1">
      <c r="A88" s="65"/>
      <c r="B88" s="65"/>
      <c r="C88" s="65"/>
      <c r="D88" s="65"/>
      <c r="E88" s="65"/>
      <c r="F88" s="65"/>
      <c r="G88" s="72"/>
      <c r="H88" s="72"/>
      <c r="I88" s="72"/>
      <c r="J88" s="72"/>
      <c r="K88" s="72" t="s">
        <v>0</v>
      </c>
      <c r="L88" s="65" t="s">
        <v>76</v>
      </c>
      <c r="M88" s="76">
        <f>0.66*M86+0.17*M87+0.17*O87</f>
        <v>500.4678167261071</v>
      </c>
      <c r="N88" s="76" t="s">
        <v>37</v>
      </c>
      <c r="O88" s="76">
        <f>0.66*O86+0.17*M87+0.17*O87</f>
        <v>573.3625761266569</v>
      </c>
      <c r="P88" s="65" t="s">
        <v>38</v>
      </c>
      <c r="Q88" s="65" t="s">
        <v>76</v>
      </c>
      <c r="AQ88" s="65" t="s">
        <v>207</v>
      </c>
    </row>
    <row r="89" spans="1:17" ht="15" customHeight="1">
      <c r="A89" s="65"/>
      <c r="B89" s="65"/>
      <c r="C89" s="65"/>
      <c r="D89" s="65"/>
      <c r="E89" s="80" t="s">
        <v>26</v>
      </c>
      <c r="F89" s="65"/>
      <c r="G89" s="69" t="s">
        <v>15</v>
      </c>
      <c r="H89" s="72"/>
      <c r="I89" s="89" t="s">
        <v>29</v>
      </c>
      <c r="J89" s="72"/>
      <c r="K89" s="72"/>
      <c r="L89" s="65" t="s">
        <v>76</v>
      </c>
      <c r="M89" s="65" t="s">
        <v>1</v>
      </c>
      <c r="Q89" s="65" t="s">
        <v>76</v>
      </c>
    </row>
    <row r="90" spans="1:17" ht="15" customHeight="1">
      <c r="A90" s="65"/>
      <c r="B90" s="65"/>
      <c r="C90" s="65"/>
      <c r="D90" s="72"/>
      <c r="E90" s="65"/>
      <c r="F90" s="65"/>
      <c r="G90" s="65"/>
      <c r="H90" s="65"/>
      <c r="I90" s="65"/>
      <c r="J90" s="72"/>
      <c r="K90" s="72"/>
      <c r="L90" s="65" t="s">
        <v>76</v>
      </c>
      <c r="M90" s="65" t="s">
        <v>104</v>
      </c>
      <c r="Q90" s="65" t="s">
        <v>76</v>
      </c>
    </row>
    <row r="91" spans="1:17" ht="15" customHeight="1">
      <c r="A91" s="65"/>
      <c r="B91" s="65" t="s">
        <v>75</v>
      </c>
      <c r="C91" s="65"/>
      <c r="D91" s="137">
        <f>O$97+1.5*M$94</f>
        <v>683.8160470891605</v>
      </c>
      <c r="E91" s="66">
        <f>(O97+M94)</f>
        <v>433.582138726107</v>
      </c>
      <c r="F91" s="137">
        <f>O97+0.5*M94</f>
        <v>183.34823036305346</v>
      </c>
      <c r="G91" s="75">
        <f>O97</f>
        <v>-66.8856780000001</v>
      </c>
      <c r="H91" s="137">
        <f>O97-0.5*O94</f>
        <v>-353.56696606332855</v>
      </c>
      <c r="I91" s="66">
        <f>O97-O94</f>
        <v>-640.248254126657</v>
      </c>
      <c r="J91" s="137">
        <f>O97-1.5*O94</f>
        <v>-926.9295421899855</v>
      </c>
      <c r="K91" s="72"/>
      <c r="L91" s="65" t="s">
        <v>76</v>
      </c>
      <c r="M91" s="65" t="s">
        <v>1</v>
      </c>
      <c r="Q91" s="65" t="s">
        <v>76</v>
      </c>
    </row>
    <row r="92" spans="1:17" ht="15" customHeight="1">
      <c r="A92" s="65"/>
      <c r="B92" s="65" t="s">
        <v>106</v>
      </c>
      <c r="C92" s="65"/>
      <c r="D92" s="90">
        <f>IF(N101&lt;1,IF(M101,R101,1-R101),IF(M101,R102,1-R102))</f>
        <v>0.059839686148537886</v>
      </c>
      <c r="E92" s="90">
        <f>IF(T101&lt;1,IF(S101,X101,1-X101),IF(S101,X102,1-X102))</f>
        <v>0.15871151677528567</v>
      </c>
      <c r="F92" s="90">
        <f>IF(Z101&lt;1,IF(Y101,AD101,1-AD101),IF(Y101,AD102,1-AD102))</f>
        <v>0.3460499825785083</v>
      </c>
      <c r="G92" s="90">
        <f>IF(N103&lt;1,IF(M103,R103,1-R103),IF(M103,R104,1-R104))</f>
        <v>0.5424751544327069</v>
      </c>
      <c r="H92" s="91">
        <f>IF(T103&lt;1,IF(S103,X103,1-X103),IF(S103,X104,1-X104))</f>
        <v>0.7229107338298869</v>
      </c>
      <c r="I92" s="91">
        <f>IF(Z103&lt;1,IF(Y103,AD103,1-AD103),IF(Y103,AD104,1-AD104))</f>
        <v>0.8413937556494265</v>
      </c>
      <c r="J92" s="92">
        <f>IF(N105&lt;1,IF(M105,R105,1-R105),IF(M105,R106,1-R106))</f>
        <v>0.9270574547779848</v>
      </c>
      <c r="K92" s="72" t="s">
        <v>0</v>
      </c>
      <c r="L92" s="65" t="s">
        <v>76</v>
      </c>
      <c r="M92" s="76">
        <f>M86*M65</f>
        <v>481.6918938502079</v>
      </c>
      <c r="N92" s="65" t="s">
        <v>33</v>
      </c>
      <c r="O92" s="76">
        <f>O86*M65</f>
        <v>592.138499002556</v>
      </c>
      <c r="P92" s="65" t="s">
        <v>36</v>
      </c>
      <c r="Q92" s="65" t="s">
        <v>76</v>
      </c>
    </row>
    <row r="93" spans="1:17" ht="15" customHeight="1">
      <c r="A93" s="65"/>
      <c r="B93" s="65" t="s">
        <v>106</v>
      </c>
      <c r="C93" s="65"/>
      <c r="D93" s="93">
        <f>IF(N101&lt;1,IF(M101,1-R101,R101),IF(M101,1-R102,R102))</f>
        <v>0.9401603138514621</v>
      </c>
      <c r="E93" s="93">
        <f>IF(T101&lt;1,IF(S101,1-X101,X101),IF(S101,1-X102,X102))</f>
        <v>0.8412884832247143</v>
      </c>
      <c r="F93" s="93">
        <f>IF(Z101&lt;1,IF(Y101,1-AD101,AD101),IF(Y101,1-AD102,AD102))</f>
        <v>0.6539500174214917</v>
      </c>
      <c r="G93" s="90">
        <f>IF(N103&lt;1,IF(M103,1-R103,R103),IF(M103,1-R104,R104))</f>
        <v>0.45752484556729317</v>
      </c>
      <c r="H93" s="90">
        <f>IF(T103&lt;1,IF(S103,1-X103,X103),IF(S103,1-X104,X104))</f>
        <v>0.2770892661701131</v>
      </c>
      <c r="I93" s="90">
        <f>IF(Z103&lt;1,IF(Y103,1-AD103,AD103),IF(Y103,1-AD104,AD104))</f>
        <v>0.15860624435057344</v>
      </c>
      <c r="J93" s="90">
        <f>IF(N105&lt;1,IF(M105,1-R105,R105),IF(M105,1-R106,R106))</f>
        <v>0.0729425452220151</v>
      </c>
      <c r="K93" s="72"/>
      <c r="L93" s="65" t="s">
        <v>76</v>
      </c>
      <c r="M93" s="76">
        <f>M87*M65</f>
        <v>592.1384990025559</v>
      </c>
      <c r="N93" s="65" t="s">
        <v>34</v>
      </c>
      <c r="O93" s="76">
        <f>O87*M65</f>
        <v>481.691893850208</v>
      </c>
      <c r="P93" s="65" t="s">
        <v>35</v>
      </c>
      <c r="Q93" s="65" t="s">
        <v>76</v>
      </c>
    </row>
    <row r="94" spans="1:17" ht="15" customHeight="1">
      <c r="A94" s="65"/>
      <c r="B94" s="65"/>
      <c r="C94" s="65"/>
      <c r="D94" s="72"/>
      <c r="E94" s="72"/>
      <c r="F94" s="72"/>
      <c r="G94" s="72"/>
      <c r="H94" s="72"/>
      <c r="I94" s="72"/>
      <c r="J94" s="72"/>
      <c r="K94" s="72"/>
      <c r="L94" s="65" t="s">
        <v>76</v>
      </c>
      <c r="M94" s="76">
        <f>M65*M88</f>
        <v>500.4678167261071</v>
      </c>
      <c r="N94" s="65" t="s">
        <v>37</v>
      </c>
      <c r="O94" s="76">
        <f>M65*O88</f>
        <v>573.3625761266569</v>
      </c>
      <c r="P94" s="65" t="s">
        <v>38</v>
      </c>
      <c r="Q94" s="65" t="s">
        <v>76</v>
      </c>
    </row>
    <row r="95" spans="1:17" ht="15" customHeight="1">
      <c r="A95" s="65"/>
      <c r="B95" s="67" t="s">
        <v>107</v>
      </c>
      <c r="C95" s="65"/>
      <c r="D95" s="72"/>
      <c r="E95" s="94">
        <f>IF(T105&lt;1,IF(S105,X105,1-X105),IF(S105,X106,1-X106))</f>
        <v>0.4926685497523003</v>
      </c>
      <c r="F95" s="138" t="s">
        <v>343</v>
      </c>
      <c r="G95" s="83"/>
      <c r="H95" s="83"/>
      <c r="I95" s="72"/>
      <c r="J95" s="75">
        <f>M65*(G18*G19-I59)</f>
        <v>57.1143219999999</v>
      </c>
      <c r="K95" s="72"/>
      <c r="L95" s="65" t="s">
        <v>76</v>
      </c>
      <c r="M95" s="63">
        <f>O69</f>
        <v>2</v>
      </c>
      <c r="N95" s="65" t="s">
        <v>20</v>
      </c>
      <c r="O95" s="65">
        <f>M69</f>
        <v>1000</v>
      </c>
      <c r="P95" s="65" t="s">
        <v>23</v>
      </c>
      <c r="Q95" s="65" t="s">
        <v>76</v>
      </c>
    </row>
    <row r="96" spans="1:17" ht="15" customHeight="1">
      <c r="A96" s="65"/>
      <c r="B96" s="65"/>
      <c r="C96" s="65"/>
      <c r="D96" s="65"/>
      <c r="E96" s="65"/>
      <c r="F96" s="65"/>
      <c r="G96" s="72"/>
      <c r="H96" s="72"/>
      <c r="I96" s="72"/>
      <c r="J96" s="72"/>
      <c r="K96" s="72"/>
      <c r="L96" s="65" t="s">
        <v>76</v>
      </c>
      <c r="M96" s="76">
        <f>I13*M78*O78</f>
        <v>1876</v>
      </c>
      <c r="N96" s="65" t="s">
        <v>12</v>
      </c>
      <c r="O96" s="76">
        <f>(M73+M69*M72)*M65</f>
        <v>1942.885678</v>
      </c>
      <c r="P96" s="65" t="s">
        <v>21</v>
      </c>
      <c r="Q96" s="65" t="s">
        <v>76</v>
      </c>
    </row>
    <row r="97" spans="1:17" ht="15" customHeight="1">
      <c r="A97" s="65"/>
      <c r="B97" s="65"/>
      <c r="C97" s="65"/>
      <c r="D97" s="65"/>
      <c r="E97" s="65"/>
      <c r="F97" s="65"/>
      <c r="G97" s="72"/>
      <c r="H97" s="72"/>
      <c r="I97" s="72"/>
      <c r="J97" s="72"/>
      <c r="K97" s="72"/>
      <c r="L97" s="65" t="s">
        <v>76</v>
      </c>
      <c r="M97" s="76">
        <f>M96+(0.7857*(O94-M94))</f>
        <v>1933.273412461012</v>
      </c>
      <c r="N97" s="65" t="s">
        <v>22</v>
      </c>
      <c r="O97" s="76">
        <f>M96-O96</f>
        <v>-66.8856780000001</v>
      </c>
      <c r="P97" s="65" t="s">
        <v>10</v>
      </c>
      <c r="Q97" s="65" t="s">
        <v>76</v>
      </c>
    </row>
    <row r="98" spans="1:17" ht="15" customHeight="1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 t="s">
        <v>2</v>
      </c>
      <c r="L98" s="65" t="s">
        <v>76</v>
      </c>
      <c r="M98" s="76">
        <f>M97-O96</f>
        <v>-9.61226553898814</v>
      </c>
      <c r="N98" s="65" t="s">
        <v>19</v>
      </c>
      <c r="O98" s="65">
        <f>O97-M98</f>
        <v>-57.27341246101196</v>
      </c>
      <c r="P98" s="65" t="s">
        <v>11</v>
      </c>
      <c r="Q98" s="65" t="s">
        <v>76</v>
      </c>
    </row>
    <row r="99" spans="1:17" ht="15" customHeight="1">
      <c r="A99" s="65"/>
      <c r="B99" s="65"/>
      <c r="C99" s="80" t="s">
        <v>313</v>
      </c>
      <c r="D99" s="65"/>
      <c r="E99" s="65"/>
      <c r="F99" s="65"/>
      <c r="G99" s="65"/>
      <c r="H99" s="65"/>
      <c r="I99" s="65"/>
      <c r="J99" s="65"/>
      <c r="K99" s="65"/>
      <c r="L99" s="65" t="s">
        <v>76</v>
      </c>
      <c r="M99" s="65" t="s">
        <v>1</v>
      </c>
      <c r="Q99" s="65" t="s">
        <v>76</v>
      </c>
    </row>
    <row r="100" spans="1:11" ht="15" customHeight="1">
      <c r="A100" s="65"/>
      <c r="B100" s="65"/>
      <c r="C100" s="65"/>
      <c r="D100" s="65"/>
      <c r="E100" s="65"/>
      <c r="F100" s="65"/>
      <c r="G100" s="65"/>
      <c r="H100" s="65"/>
      <c r="I100" s="65"/>
      <c r="J100" s="81" t="s">
        <v>315</v>
      </c>
      <c r="K100" s="81" t="s">
        <v>344</v>
      </c>
    </row>
    <row r="101" spans="1:30" ht="15" customHeight="1">
      <c r="A101" s="65"/>
      <c r="B101" s="65"/>
      <c r="C101" s="81" t="s">
        <v>100</v>
      </c>
      <c r="D101" s="81" t="s">
        <v>179</v>
      </c>
      <c r="E101" s="81" t="s">
        <v>179</v>
      </c>
      <c r="F101" s="81" t="s">
        <v>121</v>
      </c>
      <c r="G101" s="81" t="s">
        <v>186</v>
      </c>
      <c r="H101" s="81" t="s">
        <v>186</v>
      </c>
      <c r="I101" s="81" t="s">
        <v>250</v>
      </c>
      <c r="J101" s="81" t="s">
        <v>316</v>
      </c>
      <c r="K101" s="81" t="s">
        <v>314</v>
      </c>
      <c r="M101" s="63" t="b">
        <f>+D91&gt;=M98</f>
        <v>1</v>
      </c>
      <c r="N101" s="63">
        <f>ABS((D91-O97)/IF(M101,M94,O94))</f>
        <v>1.4999999999999998</v>
      </c>
      <c r="O101" s="63">
        <f>MIN(2.5,ABS((D91-(M98+O98*ABS(D91-M98)/ABS(IF(M101,M94+O98,O94-O98))*MIN(1,N101)))/(MIN(1.52,N101)/1.52*IF(M101,M92,O92)+(1.52-MIN(1.52,N101))/3.04*M93+(1.52-MIN(1.52,N101))/3.04*O93)))</f>
        <v>1.6231531081227555</v>
      </c>
      <c r="P101" s="63">
        <f aca="true" t="shared" si="1" ref="P101:P106">1/(1+(0.2316419*O101))</f>
        <v>0.7267493250745459</v>
      </c>
      <c r="Q101" s="63">
        <f aca="true" t="shared" si="2" ref="Q101:Q106">0.398942281*((2.71828)^((-(O101^2)/2)))</f>
        <v>0.10685840359171399</v>
      </c>
      <c r="R101" s="63">
        <f aca="true" t="shared" si="3" ref="R101:R106">Q101*(0.31938153*P101-0.356563782*P101^2+1.781477937*P101^3-1.821255978*P101^4+1.330274429*P101^5)</f>
        <v>0.05227837667021025</v>
      </c>
      <c r="S101" s="63" t="b">
        <f>+E91&gt;=M98</f>
        <v>1</v>
      </c>
      <c r="T101" s="63">
        <f>ABS((E91-O97)/IF(S101,M94,O94))</f>
        <v>1</v>
      </c>
      <c r="U101" s="63">
        <f>MIN(2.5,ABS((E91-(M98+O98*ABS(E91-M98)/ABS(IF(S101,M94+O98,O94-O98))*MIN(1,T101)))/(MIN(1.52,T101)/1.52*IF(S101,M92,O92)+(1.52-MIN(1.52,T101))/3.04*M93+(1.52-MIN(1.52,T101))/3.04*O93)))</f>
        <v>0.9997677521322137</v>
      </c>
      <c r="V101" s="63">
        <f aca="true" t="shared" si="4" ref="V101:V106">1/(1+(0.2316419*U101))</f>
        <v>0.811959776689956</v>
      </c>
      <c r="W101" s="63">
        <f aca="true" t="shared" si="5" ref="W101:W106">0.398942281*((2.71828)^((-(U101^2)/2)))</f>
        <v>0.24202700342834446</v>
      </c>
      <c r="X101" s="63">
        <f aca="true" t="shared" si="6" ref="X101:X106">W101*(0.31938153*V101-0.356563782*V101^2+1.781477937*V101^3-1.821255978*V101^4+1.330274429*V101^5)</f>
        <v>0.15871151677528567</v>
      </c>
      <c r="Y101" s="63" t="b">
        <f>+F91&gt;=M98</f>
        <v>1</v>
      </c>
      <c r="Z101" s="63">
        <f>ABS((F91-O97)/IF(Y101,M94,O94))</f>
        <v>0.5</v>
      </c>
      <c r="AA101" s="63">
        <f>MIN(2.5,ABS((F91-(M98+O98*ABS(F91-M98)/ABS(IF(Y101,M94+O98,O94-O98))*MIN(1,Z101)))/(MIN(1.52,Z101)/1.52*IF(Y101,M92,O92)+(1.52-MIN(1.52,Z101))/3.04*M93+(1.52-MIN(1.52,Z101))/3.04*O93)))</f>
        <v>0.39600703931019093</v>
      </c>
      <c r="AB101" s="63">
        <f>1/(1+(0.2316419*AA101))</f>
        <v>0.9159758641575702</v>
      </c>
      <c r="AC101" s="63">
        <f>0.398942281*((2.71828)^((-(AA101^2)/2)))</f>
        <v>0.3688558850852724</v>
      </c>
      <c r="AD101" s="63">
        <f>AC101*(0.31938153*AB101-0.356563782*AB101^2+1.781477937*AB101^3-1.821255978*AB101^4+1.330274429*AB101^5)</f>
        <v>0.3460499825785083</v>
      </c>
    </row>
    <row r="102" spans="1:30" ht="15" customHeight="1">
      <c r="A102" s="65"/>
      <c r="B102" s="80" t="s">
        <v>195</v>
      </c>
      <c r="C102" s="86"/>
      <c r="D102" s="86"/>
      <c r="E102" s="86"/>
      <c r="F102" s="72">
        <v>1000</v>
      </c>
      <c r="G102" s="86"/>
      <c r="H102" s="86"/>
      <c r="I102" s="86"/>
      <c r="J102" s="65"/>
      <c r="K102" s="65"/>
      <c r="L102" s="65" t="s">
        <v>0</v>
      </c>
      <c r="O102" s="63">
        <f>MIN(2.5,ABS((D91-O97)/(MIN(1.52,N101)/1.52*IF(M101,M92,O92)+(1.52-MIN(1.52,N101))/3.04*M93+(1.52-MIN(1.52,N101))/3.04*O93)))</f>
        <v>1.5561212926085106</v>
      </c>
      <c r="P102" s="63">
        <f t="shared" si="1"/>
        <v>0.7350439363361911</v>
      </c>
      <c r="Q102" s="63">
        <f t="shared" si="2"/>
        <v>0.11887360942934287</v>
      </c>
      <c r="R102" s="63">
        <f t="shared" si="3"/>
        <v>0.059839686148537886</v>
      </c>
      <c r="U102" s="63">
        <f>MIN(2.5,ABS((E91-O97)/(MIN(1.52,T101)/1.52*IF(S101,M92,O92)+(1.52-MIN(1.52,T101))/3.04*M93+(1.52-MIN(1.52,T101))/3.04*O93)))</f>
        <v>0.9997677521322137</v>
      </c>
      <c r="V102" s="63">
        <f t="shared" si="4"/>
        <v>0.811959776689956</v>
      </c>
      <c r="W102" s="63">
        <f t="shared" si="5"/>
        <v>0.24202700342834446</v>
      </c>
      <c r="X102" s="63">
        <f t="shared" si="6"/>
        <v>0.15871151677528567</v>
      </c>
      <c r="AA102" s="63">
        <f>MIN(2.5,ABS((F91-O97)/(MIN(1.52,Z101)/1.52*IF(Y101,M92,O92)+(1.52-MIN(1.52,Z101))/3.04*M93+(1.52-MIN(1.52,Z101))/3.04*O93)))</f>
        <v>0.48237895666751024</v>
      </c>
      <c r="AB102" s="63">
        <f>1/(1+(0.2316419*AA102))</f>
        <v>0.8994915531903562</v>
      </c>
      <c r="AC102" s="63">
        <f>0.398942281*((2.71828)^((-(AA102^2)/2)))</f>
        <v>0.35512580132103355</v>
      </c>
      <c r="AD102" s="63">
        <f>AC102*(0.31938153*AB102-0.356563782*AB102^2+1.781477937*AB102^3-1.821255978*AB102^4+1.330274429*AB102^5)</f>
        <v>0.31476841171244446</v>
      </c>
    </row>
    <row r="103" spans="1:30" ht="15" customHeight="1">
      <c r="A103" s="65"/>
      <c r="B103" s="63">
        <v>1.4</v>
      </c>
      <c r="C103" s="95">
        <v>-57</v>
      </c>
      <c r="D103" s="96">
        <v>-248</v>
      </c>
      <c r="E103" s="96">
        <v>-439</v>
      </c>
      <c r="F103" s="96">
        <v>-630</v>
      </c>
      <c r="G103" s="95">
        <v>-839</v>
      </c>
      <c r="H103" s="95">
        <v>-1049</v>
      </c>
      <c r="I103" s="96">
        <v>-1259</v>
      </c>
      <c r="J103" s="97">
        <v>-543</v>
      </c>
      <c r="K103" s="65">
        <v>5</v>
      </c>
      <c r="M103" s="63" t="b">
        <f>+G91&gt;=M98</f>
        <v>0</v>
      </c>
      <c r="N103" s="63">
        <f>ABS((G91-O97)/IF(M103,M94,O94))</f>
        <v>0</v>
      </c>
      <c r="O103" s="63">
        <f>MIN(2.5,ABS((G91-(M98+O98*ABS(G91-M98)/ABS(IF(M103,M94+O98,O94-O98))*MIN(1,N103)))/(MIN(1.52,N103)/1.52*IF(M103,M92,O92)+(1.52-MIN(1.52,N103))/3.04*M93+(1.52-MIN(1.52,N103))/3.04*O93)))</f>
        <v>0.10667124499774684</v>
      </c>
      <c r="P103" s="63">
        <f t="shared" si="1"/>
        <v>0.9758863081229866</v>
      </c>
      <c r="Q103" s="63">
        <f t="shared" si="2"/>
        <v>0.3966789938352356</v>
      </c>
      <c r="R103" s="63">
        <f t="shared" si="3"/>
        <v>0.45752484556729317</v>
      </c>
      <c r="S103" s="63" t="b">
        <f>+H91&gt;=M98</f>
        <v>0</v>
      </c>
      <c r="T103" s="63">
        <f>ABS((H91-O97)/IF(S103,M94,O94))</f>
        <v>0.5</v>
      </c>
      <c r="U103" s="63">
        <f>MIN(2.5,ABS((H91-(M98+O98*ABS(H91-M98)/ABS(IF(S103,M94+O98,O94-O98))*MIN(1,T103)))/(MIN(1.52,T103)/1.52*IF(S103,M92,O92)+(1.52-MIN(1.52,T103))/3.04*M93+(1.52-MIN(1.52,T103))/3.04*O93)))</f>
        <v>0.5915102843471062</v>
      </c>
      <c r="V103" s="63">
        <f t="shared" si="4"/>
        <v>0.8794931145219745</v>
      </c>
      <c r="W103" s="63">
        <f t="shared" si="5"/>
        <v>0.33491429280175655</v>
      </c>
      <c r="X103" s="63">
        <f t="shared" si="6"/>
        <v>0.2770892661701131</v>
      </c>
      <c r="Y103" s="63" t="b">
        <f>+I91&gt;=M98</f>
        <v>0</v>
      </c>
      <c r="Z103" s="63">
        <f>ABS((I91-O97)/IF(Y103,M94,O94))</f>
        <v>1</v>
      </c>
      <c r="AA103" s="63">
        <f>MIN(2.5,ABS((I91-(M98+O98*ABS(I91-M98)/ABS(IF(Y103,M94+O98,O94-O98))*MIN(1,Z103)))/(MIN(1.52,Z103)/1.52*IF(Y103,M92,O92)+(1.52-MIN(1.52,Z103))/3.04*M93+(1.52-MIN(1.52,Z103))/3.04*O93)))</f>
        <v>1.0002028091258783</v>
      </c>
      <c r="AB103" s="63">
        <f>1/(1+(0.2316419*AA103))</f>
        <v>0.8118933417161347</v>
      </c>
      <c r="AC103" s="63">
        <f>0.398942281*((2.71828)^((-(AA103^2)/2)))</f>
        <v>0.2419217324093121</v>
      </c>
      <c r="AD103" s="63">
        <f>AC103*(0.31938153*AB103-0.356563782*AB103^2+1.781477937*AB103^3-1.821255978*AB103^4+1.330274429*AB103^5)</f>
        <v>0.15860624435057344</v>
      </c>
    </row>
    <row r="104" spans="1:30" ht="15" customHeight="1">
      <c r="A104" s="65"/>
      <c r="B104" s="63">
        <v>1.7</v>
      </c>
      <c r="C104" s="86">
        <v>309</v>
      </c>
      <c r="D104" s="98">
        <v>90</v>
      </c>
      <c r="E104" s="96">
        <v>-129</v>
      </c>
      <c r="F104" s="96">
        <v>-348</v>
      </c>
      <c r="G104" s="96">
        <v>-595</v>
      </c>
      <c r="H104" s="96">
        <v>-842</v>
      </c>
      <c r="I104" s="96">
        <v>-1088</v>
      </c>
      <c r="J104" s="97">
        <v>-243</v>
      </c>
      <c r="K104" s="65">
        <v>23</v>
      </c>
      <c r="O104" s="63">
        <f>MIN(2.5,ABS((G91-O97)/(MIN(1.52,N103)/1.52*IF(M103,M92,O92)+(1.52-MIN(1.52,N103))/3.04*M93+(1.52-MIN(1.52,N103))/3.04*O93)))</f>
        <v>0</v>
      </c>
      <c r="P104" s="63">
        <f t="shared" si="1"/>
        <v>1</v>
      </c>
      <c r="Q104" s="63">
        <f t="shared" si="2"/>
        <v>0.398942281</v>
      </c>
      <c r="R104" s="63">
        <f t="shared" si="3"/>
        <v>0.5000000002253843</v>
      </c>
      <c r="U104" s="63">
        <f>MIN(2.5,ABS((H91-O97)/(MIN(1.52,T103)/1.52*IF(S103,M92,O92)+(1.52-MIN(1.52,T103))/3.04*M93+(1.52-MIN(1.52,T103))/3.04*O93)))</f>
        <v>0.5164677116156151</v>
      </c>
      <c r="V104" s="63">
        <f t="shared" si="4"/>
        <v>0.8931477651595763</v>
      </c>
      <c r="W104" s="63">
        <f t="shared" si="5"/>
        <v>0.34913106231258306</v>
      </c>
      <c r="X104" s="63">
        <f t="shared" si="6"/>
        <v>0.3027639045764773</v>
      </c>
      <c r="AA104" s="63">
        <f>MIN(2.5,ABS((I91-O97)/(MIN(1.52,Z103)/1.52*IF(Y103,M92,O92)+(1.52-MIN(1.52,Z103))/3.04*M93+(1.52-MIN(1.52,Z103))/3.04*O93)))</f>
        <v>1.0002028091258783</v>
      </c>
      <c r="AB104" s="63">
        <f>1/(1+(0.2316419*AA104))</f>
        <v>0.8118933417161347</v>
      </c>
      <c r="AC104" s="63">
        <f>0.398942281*((2.71828)^((-(AA104^2)/2)))</f>
        <v>0.2419217324093121</v>
      </c>
      <c r="AD104" s="63">
        <f>AC104*(0.31938153*AB104-0.356563782*AB104^2+1.781477937*AB104^3-1.821255978*AB104^4+1.330274429*AB104^5)</f>
        <v>0.15860624435057344</v>
      </c>
    </row>
    <row r="105" spans="1:24" ht="15" customHeight="1">
      <c r="A105" s="65"/>
      <c r="B105" s="63">
        <v>2</v>
      </c>
      <c r="C105" s="86">
        <v>684</v>
      </c>
      <c r="D105" s="98">
        <v>434</v>
      </c>
      <c r="E105" s="98">
        <v>183</v>
      </c>
      <c r="F105" s="96">
        <v>-67</v>
      </c>
      <c r="G105" s="96">
        <v>-354</v>
      </c>
      <c r="H105" s="95">
        <v>-640</v>
      </c>
      <c r="I105" s="96">
        <v>-927</v>
      </c>
      <c r="J105" s="78">
        <v>57</v>
      </c>
      <c r="K105" s="65">
        <v>49</v>
      </c>
      <c r="M105" s="63" t="b">
        <f>+J91&gt;=M98</f>
        <v>0</v>
      </c>
      <c r="N105" s="63">
        <f>ABS((J91-O97)/IF(M105,M94,O94))</f>
        <v>1.5</v>
      </c>
      <c r="O105" s="63">
        <f>MIN(2.5,ABS((J91-(M98+O98*ABS(J91-M98)/ABS(IF(M105,M94+O98,O94-O98))*MIN(1,N105)))/(MIN(1.52,N105)/1.52*IF(M105,M92,O92)+(1.52-MIN(1.52,N105))/3.04*M93+(1.52-MIN(1.52,N105))/3.04*O93)))</f>
        <v>1.410198093018831</v>
      </c>
      <c r="P105" s="63">
        <f t="shared" si="1"/>
        <v>0.753772083371074</v>
      </c>
      <c r="Q105" s="63">
        <f t="shared" si="2"/>
        <v>0.1475973687837631</v>
      </c>
      <c r="R105" s="63">
        <f t="shared" si="3"/>
        <v>0.07924070236620481</v>
      </c>
      <c r="S105" s="63" t="b">
        <f>0&gt;=M98</f>
        <v>1</v>
      </c>
      <c r="T105" s="63">
        <f>ABS((0-O97)/IF(S105,M94,O94))</f>
        <v>0.1336463120396908</v>
      </c>
      <c r="U105" s="63">
        <f>MIN(2.5,ABS((0-(M98+O98*ABS(0-M98)/ABS(IF(S105,M94+O98,O94-O98))*MIN(1,T105)))/(MIN(1.52,T105)/1.52*IF(S105,M92,O92)+(1.52-MIN(1.52,T105))/3.04*M93+(1.52-MIN(1.52,T105))/3.04*O93)))</f>
        <v>0.01837816087041055</v>
      </c>
      <c r="V105" s="63">
        <f t="shared" si="4"/>
        <v>0.9957608944147276</v>
      </c>
      <c r="W105" s="63">
        <f t="shared" si="5"/>
        <v>0.39887491400038527</v>
      </c>
      <c r="X105" s="63">
        <f t="shared" si="6"/>
        <v>0.4926685497523003</v>
      </c>
    </row>
    <row r="106" spans="1:24" ht="15" customHeight="1">
      <c r="A106" s="65"/>
      <c r="B106" s="63">
        <v>2.3</v>
      </c>
      <c r="C106" s="72">
        <v>1065</v>
      </c>
      <c r="D106" s="66">
        <v>781</v>
      </c>
      <c r="E106" s="66">
        <v>498</v>
      </c>
      <c r="F106" s="98">
        <v>215</v>
      </c>
      <c r="G106" s="96">
        <v>-114</v>
      </c>
      <c r="H106" s="95">
        <v>-443</v>
      </c>
      <c r="I106" s="96">
        <v>-771</v>
      </c>
      <c r="J106" s="65">
        <v>357</v>
      </c>
      <c r="K106" s="65">
        <v>67</v>
      </c>
      <c r="O106" s="63">
        <f>MIN(2.5,ABS((J91-O97)/(MIN(1.52,N105)/1.52*IF(M105,M92,O92)+(1.52-MIN(1.52,N105))/3.04*M93+(1.52-MIN(1.52,N105))/3.04*O93)))</f>
        <v>1.454221496419707</v>
      </c>
      <c r="P106" s="63">
        <f t="shared" si="1"/>
        <v>0.7480222494896598</v>
      </c>
      <c r="Q106" s="63">
        <f t="shared" si="2"/>
        <v>0.1385785590531523</v>
      </c>
      <c r="R106" s="63">
        <f t="shared" si="3"/>
        <v>0.0729425452220151</v>
      </c>
      <c r="U106" s="63">
        <f>MIN(2.5,ABS((0-O97)/(MIN(1.52,T105)/1.52*IF(S105,M92,O92)+(1.52-MIN(1.52,T105))/3.04*M93+(1.52-MIN(1.52,T105))/3.04*O93)))</f>
        <v>0.12571085724136483</v>
      </c>
      <c r="V106" s="63">
        <f t="shared" si="4"/>
        <v>0.9717040728000083</v>
      </c>
      <c r="W106" s="63">
        <f t="shared" si="5"/>
        <v>0.39580241819112194</v>
      </c>
      <c r="X106" s="63">
        <f t="shared" si="6"/>
        <v>0.4499803662667231</v>
      </c>
    </row>
    <row r="107" spans="1:11" ht="15" customHeight="1">
      <c r="A107" s="65"/>
      <c r="B107" s="63">
        <v>2.6</v>
      </c>
      <c r="C107" s="66">
        <v>1449</v>
      </c>
      <c r="D107" s="66">
        <v>1132</v>
      </c>
      <c r="E107" s="66">
        <v>814</v>
      </c>
      <c r="F107" s="98">
        <v>496</v>
      </c>
      <c r="G107" s="98">
        <v>124</v>
      </c>
      <c r="H107" s="96">
        <v>-248</v>
      </c>
      <c r="I107" s="96">
        <v>-619</v>
      </c>
      <c r="J107" s="65">
        <v>657</v>
      </c>
      <c r="K107" s="65">
        <v>77</v>
      </c>
    </row>
    <row r="108" spans="1:11" ht="15" customHeight="1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</row>
    <row r="109" spans="1:11" ht="15" customHeight="1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</row>
    <row r="110" spans="1:11" ht="15" customHeight="1">
      <c r="A110" s="65"/>
      <c r="B110" s="62" t="s">
        <v>317</v>
      </c>
      <c r="C110" s="63"/>
      <c r="D110" s="63"/>
      <c r="E110" s="63"/>
      <c r="F110" s="63"/>
      <c r="G110" s="63"/>
      <c r="H110" s="63"/>
      <c r="I110" s="63"/>
      <c r="J110" s="63"/>
      <c r="K110" s="63"/>
    </row>
    <row r="111" spans="1:11" ht="15" customHeight="1">
      <c r="A111" s="65"/>
      <c r="B111" s="63" t="s">
        <v>318</v>
      </c>
      <c r="C111" s="63"/>
      <c r="D111" s="63"/>
      <c r="E111" s="63"/>
      <c r="F111" s="63"/>
      <c r="G111" s="63"/>
      <c r="H111" s="63"/>
      <c r="I111" s="63"/>
      <c r="J111" s="63"/>
      <c r="K111" s="63"/>
    </row>
    <row r="112" spans="1:11" ht="15" customHeight="1">
      <c r="A112" s="65"/>
      <c r="B112" s="63" t="s">
        <v>319</v>
      </c>
      <c r="C112" s="63"/>
      <c r="D112" s="63"/>
      <c r="E112" s="63"/>
      <c r="F112" s="63"/>
      <c r="G112" s="63"/>
      <c r="H112" s="63"/>
      <c r="I112" s="63"/>
      <c r="J112" s="63"/>
      <c r="K112" s="63"/>
    </row>
    <row r="113" spans="1:11" ht="15" customHeight="1">
      <c r="A113" s="65"/>
      <c r="B113" s="63" t="s">
        <v>320</v>
      </c>
      <c r="C113" s="63"/>
      <c r="D113" s="63"/>
      <c r="E113" s="63"/>
      <c r="F113" s="63"/>
      <c r="G113" s="63"/>
      <c r="H113" s="63"/>
      <c r="I113" s="63"/>
      <c r="J113" s="63"/>
      <c r="K113" s="63"/>
    </row>
    <row r="114" spans="1:11" ht="15" customHeight="1">
      <c r="A114" s="65" t="s">
        <v>2</v>
      </c>
      <c r="B114" s="65"/>
      <c r="C114" s="65"/>
      <c r="D114" s="65"/>
      <c r="E114" s="65"/>
      <c r="F114" s="65"/>
      <c r="G114" s="65"/>
      <c r="H114" s="65"/>
      <c r="I114" s="65"/>
      <c r="J114" s="65"/>
      <c r="K114" s="65"/>
    </row>
    <row r="115" spans="1:11" ht="15" customHeight="1">
      <c r="A115" s="65" t="s">
        <v>2</v>
      </c>
      <c r="B115" s="65"/>
      <c r="C115" s="65"/>
      <c r="D115" s="65"/>
      <c r="E115" s="65"/>
      <c r="F115" s="65"/>
      <c r="G115" s="65"/>
      <c r="H115" s="65"/>
      <c r="I115" s="65"/>
      <c r="J115" s="65"/>
      <c r="K115" s="65"/>
    </row>
    <row r="116" spans="1:11" ht="15" customHeight="1">
      <c r="A116" s="65" t="s">
        <v>2</v>
      </c>
      <c r="B116" s="65"/>
      <c r="C116" s="65"/>
      <c r="D116" s="65"/>
      <c r="E116" s="65"/>
      <c r="F116" s="65"/>
      <c r="G116" s="65"/>
      <c r="H116" s="65"/>
      <c r="I116" s="65"/>
      <c r="J116" s="65"/>
      <c r="K116" s="65"/>
    </row>
    <row r="117" spans="1:11" ht="15" customHeight="1">
      <c r="A117" s="65" t="s">
        <v>2</v>
      </c>
      <c r="B117" s="65"/>
      <c r="C117" s="65"/>
      <c r="D117" s="65"/>
      <c r="E117" s="65"/>
      <c r="F117" s="65"/>
      <c r="G117" s="65"/>
      <c r="H117" s="65"/>
      <c r="I117" s="65"/>
      <c r="J117" s="65"/>
      <c r="K117" s="65"/>
    </row>
    <row r="118" spans="1:11" ht="15" customHeight="1">
      <c r="A118" s="65"/>
      <c r="B118" s="65"/>
      <c r="C118" s="65"/>
      <c r="D118" s="71"/>
      <c r="E118" s="71"/>
      <c r="F118" s="71"/>
      <c r="G118" s="71"/>
      <c r="H118" s="71"/>
      <c r="I118" s="71"/>
      <c r="J118" s="65"/>
      <c r="K118" s="65"/>
    </row>
    <row r="119" spans="1:11" ht="15" customHeight="1">
      <c r="A119" s="65"/>
      <c r="B119" s="65"/>
      <c r="C119" s="65"/>
      <c r="D119" s="71"/>
      <c r="E119" s="71"/>
      <c r="F119" s="71"/>
      <c r="G119" s="71"/>
      <c r="H119" s="71"/>
      <c r="I119" s="71"/>
      <c r="J119" s="65"/>
      <c r="K119" s="65"/>
    </row>
    <row r="120" spans="1:11" ht="15" customHeight="1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</row>
    <row r="121" spans="1:11" ht="15" customHeight="1">
      <c r="A121" s="65"/>
      <c r="B121" s="99"/>
      <c r="C121" s="99"/>
      <c r="D121" s="99"/>
      <c r="E121" s="99"/>
      <c r="F121" s="99"/>
      <c r="G121" s="99"/>
      <c r="H121" s="99"/>
      <c r="I121" s="99"/>
      <c r="J121" s="100"/>
      <c r="K121" s="65"/>
    </row>
    <row r="122" spans="1:11" ht="15" customHeight="1">
      <c r="A122" s="65"/>
      <c r="B122" s="144"/>
      <c r="C122" s="144"/>
      <c r="D122" s="144"/>
      <c r="E122" s="144"/>
      <c r="F122" s="144"/>
      <c r="G122" s="144"/>
      <c r="H122" s="144"/>
      <c r="I122" s="144"/>
      <c r="J122" s="144"/>
      <c r="K122" s="65"/>
    </row>
    <row r="123" spans="1:11" ht="15" customHeight="1">
      <c r="A123" s="65"/>
      <c r="B123" s="144"/>
      <c r="C123" s="144"/>
      <c r="D123" s="144"/>
      <c r="E123" s="144"/>
      <c r="F123" s="144"/>
      <c r="G123" s="144"/>
      <c r="H123" s="144"/>
      <c r="I123" s="144"/>
      <c r="J123" s="144"/>
      <c r="K123" s="65"/>
    </row>
    <row r="124" spans="1:11" ht="15" customHeight="1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</row>
    <row r="125" spans="1:11" ht="12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</row>
    <row r="126" spans="1:11" ht="12.7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</row>
    <row r="127" spans="1:11" ht="12.7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</row>
    <row r="128" spans="1:11" ht="12.7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</row>
    <row r="129" spans="1:11" ht="12.7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</row>
    <row r="130" spans="1:11" ht="12.75">
      <c r="A130" s="65"/>
      <c r="B130" s="67"/>
      <c r="C130" s="67"/>
      <c r="D130" s="67"/>
      <c r="E130" s="69"/>
      <c r="F130" s="69"/>
      <c r="G130" s="69"/>
      <c r="H130" s="70"/>
      <c r="I130" s="70"/>
      <c r="J130" s="65"/>
      <c r="K130" s="65"/>
    </row>
    <row r="131" spans="1:11" ht="12.75">
      <c r="A131" s="65"/>
      <c r="B131" s="65"/>
      <c r="C131" s="65"/>
      <c r="D131" s="65"/>
      <c r="E131" s="72"/>
      <c r="F131" s="72"/>
      <c r="G131" s="72"/>
      <c r="H131" s="72"/>
      <c r="I131" s="72"/>
      <c r="J131" s="65"/>
      <c r="K131" s="65"/>
    </row>
    <row r="132" spans="1:11" ht="12.75">
      <c r="A132" s="65"/>
      <c r="B132" s="65"/>
      <c r="C132" s="65"/>
      <c r="D132" s="65"/>
      <c r="E132" s="68"/>
      <c r="F132" s="68"/>
      <c r="G132" s="73"/>
      <c r="H132" s="68"/>
      <c r="I132" s="68"/>
      <c r="J132" s="65"/>
      <c r="K132" s="65"/>
    </row>
    <row r="133" spans="1:11" ht="12.75">
      <c r="A133" s="65"/>
      <c r="B133" s="65"/>
      <c r="C133" s="65"/>
      <c r="D133" s="65"/>
      <c r="E133" s="74"/>
      <c r="F133" s="74"/>
      <c r="G133" s="70"/>
      <c r="H133" s="74"/>
      <c r="I133" s="74"/>
      <c r="J133" s="65"/>
      <c r="K133" s="65"/>
    </row>
    <row r="134" spans="1:11" ht="12.7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</row>
    <row r="135" spans="1:11" ht="12.7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</row>
    <row r="136" spans="1:11" ht="12.7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</row>
    <row r="137" spans="1:11" ht="12.7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</row>
    <row r="138" spans="1:11" ht="12.7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</row>
    <row r="139" spans="1:11" ht="12.7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</row>
    <row r="140" spans="1:11" ht="12.7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</row>
    <row r="141" spans="1:11" ht="12.7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</row>
    <row r="142" spans="1:11" ht="12.7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</row>
    <row r="143" spans="1:11" ht="12.7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</row>
    <row r="144" spans="1:11" ht="12.7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</row>
    <row r="145" spans="1:11" ht="12.7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</row>
    <row r="146" spans="1:11" ht="12.7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</row>
    <row r="147" spans="1:11" ht="12.7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</row>
    <row r="148" spans="1:11" ht="12.7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</row>
    <row r="149" spans="1:11" ht="12.7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</row>
    <row r="150" spans="1:11" ht="12.7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</row>
    <row r="151" spans="1:11" ht="12.7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</row>
    <row r="152" spans="1:11" ht="12.7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</row>
    <row r="153" spans="1:11" ht="12.7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</row>
    <row r="154" spans="1:11" ht="12.7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</row>
    <row r="155" spans="1:11" ht="12.7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</row>
    <row r="156" spans="1:11" ht="12.7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</row>
    <row r="157" spans="1:11" ht="12.7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</row>
    <row r="158" spans="1:11" ht="12.7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</row>
    <row r="159" spans="1:11" ht="12.7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</row>
    <row r="160" spans="1:11" ht="12.7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</row>
    <row r="161" spans="1:11" ht="12.7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</row>
    <row r="162" spans="1:11" ht="12.7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</row>
    <row r="163" spans="1:11" ht="12.7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</row>
    <row r="164" spans="1:11" ht="12.7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</row>
    <row r="165" spans="1:11" ht="12.7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</row>
    <row r="166" spans="1:11" ht="12.7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</row>
    <row r="167" spans="1:11" ht="12.7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</row>
    <row r="168" spans="1:11" ht="12.7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</row>
  </sheetData>
  <sheetProtection/>
  <mergeCells count="13">
    <mergeCell ref="B122:J122"/>
    <mergeCell ref="B123:J123"/>
    <mergeCell ref="A3:K3"/>
    <mergeCell ref="B85:J85"/>
    <mergeCell ref="B86:J86"/>
    <mergeCell ref="B87:J87"/>
    <mergeCell ref="A1:K1"/>
    <mergeCell ref="A2:K2"/>
    <mergeCell ref="A4:K4"/>
    <mergeCell ref="C61:J61"/>
    <mergeCell ref="H75:I75"/>
    <mergeCell ref="C83:J83"/>
    <mergeCell ref="C72:I72"/>
  </mergeCells>
  <printOptions/>
  <pageMargins left="0.25" right="0.25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C1">
      <selection activeCell="F22" sqref="F22"/>
    </sheetView>
  </sheetViews>
  <sheetFormatPr defaultColWidth="9.140625" defaultRowHeight="12.75"/>
  <cols>
    <col min="1" max="1" width="13.7109375" style="1" customWidth="1"/>
    <col min="2" max="2" width="13.28125" style="1" customWidth="1"/>
    <col min="3" max="3" width="24.57421875" style="1" customWidth="1"/>
    <col min="4" max="4" width="12.28125" style="1" customWidth="1"/>
    <col min="5" max="5" width="9.140625" style="1" customWidth="1"/>
    <col min="6" max="6" width="29.421875" style="1" customWidth="1"/>
    <col min="7" max="7" width="14.8515625" style="1" customWidth="1"/>
    <col min="8" max="16384" width="9.140625" style="1" customWidth="1"/>
  </cols>
  <sheetData>
    <row r="1" spans="1:8" ht="12.75">
      <c r="A1" s="22" t="s">
        <v>197</v>
      </c>
      <c r="B1" s="1" t="s">
        <v>78</v>
      </c>
      <c r="C1" s="9"/>
      <c r="D1" s="22" t="s">
        <v>197</v>
      </c>
      <c r="E1" s="1" t="s">
        <v>78</v>
      </c>
      <c r="F1" s="9"/>
      <c r="G1" s="22" t="s">
        <v>197</v>
      </c>
      <c r="H1" s="1" t="s">
        <v>78</v>
      </c>
    </row>
    <row r="2" spans="1:8" ht="12.75">
      <c r="A2" s="3" t="s">
        <v>86</v>
      </c>
      <c r="B2" s="1" t="s">
        <v>82</v>
      </c>
      <c r="C2" s="9"/>
      <c r="D2" s="3" t="s">
        <v>86</v>
      </c>
      <c r="E2" s="1" t="s">
        <v>79</v>
      </c>
      <c r="F2" s="9"/>
      <c r="G2" s="3" t="s">
        <v>86</v>
      </c>
      <c r="H2" s="1" t="s">
        <v>85</v>
      </c>
    </row>
    <row r="3" spans="1:8" ht="12.75">
      <c r="A3" s="3" t="s">
        <v>86</v>
      </c>
      <c r="B3" s="1" t="s">
        <v>80</v>
      </c>
      <c r="D3" s="3" t="s">
        <v>86</v>
      </c>
      <c r="E3" s="1" t="s">
        <v>81</v>
      </c>
      <c r="G3" s="3" t="s">
        <v>86</v>
      </c>
      <c r="H3" s="1" t="s">
        <v>80</v>
      </c>
    </row>
    <row r="4" spans="1:8" ht="12.75">
      <c r="A4" s="3" t="s">
        <v>86</v>
      </c>
      <c r="B4" s="1" t="s">
        <v>83</v>
      </c>
      <c r="D4" s="3" t="s">
        <v>86</v>
      </c>
      <c r="E4" s="1" t="s">
        <v>84</v>
      </c>
      <c r="G4" s="3" t="s">
        <v>86</v>
      </c>
      <c r="H4" s="1" t="s">
        <v>83</v>
      </c>
    </row>
    <row r="5" ht="12.75">
      <c r="A5" s="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R40"/>
  <sheetViews>
    <sheetView zoomScalePageLayoutView="0" workbookViewId="0" topLeftCell="A1">
      <selection activeCell="P31" sqref="P31"/>
    </sheetView>
  </sheetViews>
  <sheetFormatPr defaultColWidth="9.140625" defaultRowHeight="12.75"/>
  <cols>
    <col min="1" max="1" width="9.140625" style="1" customWidth="1"/>
    <col min="2" max="2" width="29.57421875" style="1" customWidth="1"/>
    <col min="3" max="3" width="3.421875" style="1" customWidth="1"/>
    <col min="4" max="4" width="9.140625" style="1" customWidth="1"/>
    <col min="5" max="5" width="9.7109375" style="1" customWidth="1"/>
    <col min="6" max="13" width="9.140625" style="1" customWidth="1"/>
    <col min="14" max="14" width="9.8515625" style="1" customWidth="1"/>
    <col min="15" max="15" width="11.140625" style="1" customWidth="1"/>
    <col min="16" max="16" width="11.57421875" style="1" customWidth="1"/>
    <col min="17" max="17" width="11.7109375" style="1" customWidth="1"/>
    <col min="18" max="18" width="12.140625" style="1" customWidth="1"/>
    <col min="19" max="16384" width="9.140625" style="1" customWidth="1"/>
  </cols>
  <sheetData>
    <row r="2" ht="12.75">
      <c r="B2" s="61" t="s">
        <v>303</v>
      </c>
    </row>
    <row r="4" spans="1:9" ht="15.75">
      <c r="A4" s="147" t="s">
        <v>305</v>
      </c>
      <c r="B4" s="148"/>
      <c r="C4" s="148"/>
      <c r="D4" s="148"/>
      <c r="E4" s="148"/>
      <c r="F4" s="148"/>
      <c r="G4" s="148"/>
      <c r="H4" s="148"/>
      <c r="I4" s="148"/>
    </row>
    <row r="5" spans="2:8" ht="15.75">
      <c r="B5" s="147" t="s">
        <v>308</v>
      </c>
      <c r="C5" s="149"/>
      <c r="D5" s="149"/>
      <c r="E5" s="149"/>
      <c r="F5" s="149"/>
      <c r="G5" s="149"/>
      <c r="H5" s="149"/>
    </row>
    <row r="7" spans="14:18" ht="12.75">
      <c r="N7" s="40"/>
      <c r="O7" s="40"/>
      <c r="P7" s="40"/>
      <c r="Q7" s="40"/>
      <c r="R7" s="40"/>
    </row>
    <row r="8" spans="2:18" ht="12.75">
      <c r="B8" s="12"/>
      <c r="C8" s="12"/>
      <c r="D8" s="12"/>
      <c r="E8" s="12"/>
      <c r="F8" s="12"/>
      <c r="G8" s="6"/>
      <c r="H8" s="5"/>
      <c r="N8" s="27"/>
      <c r="O8" s="10"/>
      <c r="P8" s="10"/>
      <c r="Q8" s="10"/>
      <c r="R8" s="10"/>
    </row>
    <row r="9" spans="14:18" ht="12.75">
      <c r="N9" s="27"/>
      <c r="O9" s="10"/>
      <c r="P9" s="10"/>
      <c r="Q9" s="10"/>
      <c r="R9" s="10"/>
    </row>
    <row r="10" spans="2:18" ht="12.75">
      <c r="B10" s="40" t="s">
        <v>178</v>
      </c>
      <c r="C10" s="40"/>
      <c r="D10" s="28"/>
      <c r="E10" s="12" t="s">
        <v>243</v>
      </c>
      <c r="F10" s="12" t="s">
        <v>199</v>
      </c>
      <c r="G10" s="6" t="s">
        <v>194</v>
      </c>
      <c r="H10" s="5" t="s">
        <v>91</v>
      </c>
      <c r="N10" s="27"/>
      <c r="O10" s="10"/>
      <c r="P10" s="10"/>
      <c r="Q10" s="10"/>
      <c r="R10" s="10"/>
    </row>
    <row r="11" spans="2:18" ht="12.75">
      <c r="B11" s="27" t="s">
        <v>268</v>
      </c>
      <c r="C11" s="27"/>
      <c r="D11" s="27"/>
      <c r="E11" s="28" t="s">
        <v>87</v>
      </c>
      <c r="F11" s="29">
        <v>1</v>
      </c>
      <c r="G11" s="28">
        <v>0</v>
      </c>
      <c r="H11" s="29">
        <f aca="true" t="shared" si="0" ref="H11:H24">F11*G11</f>
        <v>0</v>
      </c>
      <c r="N11" s="27"/>
      <c r="O11" s="10"/>
      <c r="P11" s="10"/>
      <c r="Q11" s="10"/>
      <c r="R11" s="10"/>
    </row>
    <row r="12" spans="2:18" ht="12.75">
      <c r="B12" s="27" t="s">
        <v>166</v>
      </c>
      <c r="C12" s="27"/>
      <c r="D12" s="27"/>
      <c r="E12" s="28" t="s">
        <v>220</v>
      </c>
      <c r="F12" s="29">
        <v>1</v>
      </c>
      <c r="G12" s="29">
        <v>30</v>
      </c>
      <c r="H12" s="29">
        <f t="shared" si="0"/>
        <v>30</v>
      </c>
      <c r="N12" s="27"/>
      <c r="O12" s="10"/>
      <c r="P12" s="10"/>
      <c r="Q12" s="10"/>
      <c r="R12" s="10"/>
    </row>
    <row r="13" spans="2:8" ht="12.75">
      <c r="B13" s="27" t="s">
        <v>125</v>
      </c>
      <c r="C13" s="27"/>
      <c r="D13" s="27"/>
      <c r="E13" s="28" t="s">
        <v>163</v>
      </c>
      <c r="F13" s="29">
        <v>12</v>
      </c>
      <c r="G13" s="29">
        <v>3.33</v>
      </c>
      <c r="H13" s="29">
        <f t="shared" si="0"/>
        <v>39.96</v>
      </c>
    </row>
    <row r="14" spans="2:8" ht="12.75">
      <c r="B14" s="27" t="s">
        <v>256</v>
      </c>
      <c r="C14" s="27"/>
      <c r="D14" s="27"/>
      <c r="E14" s="28" t="s">
        <v>163</v>
      </c>
      <c r="F14" s="29">
        <v>24</v>
      </c>
      <c r="G14" s="29">
        <v>0.35</v>
      </c>
      <c r="H14" s="29">
        <f t="shared" si="0"/>
        <v>8.399999999999999</v>
      </c>
    </row>
    <row r="15" spans="2:8" ht="12.75">
      <c r="B15" s="27" t="s">
        <v>131</v>
      </c>
      <c r="C15" s="27"/>
      <c r="D15" s="27"/>
      <c r="E15" s="28" t="s">
        <v>87</v>
      </c>
      <c r="F15" s="29">
        <v>3</v>
      </c>
      <c r="G15" s="29">
        <v>2</v>
      </c>
      <c r="H15" s="29">
        <f t="shared" si="0"/>
        <v>6</v>
      </c>
    </row>
    <row r="16" spans="2:8" ht="12.75">
      <c r="B16" s="27" t="s">
        <v>141</v>
      </c>
      <c r="C16" s="27"/>
      <c r="D16" s="27"/>
      <c r="E16" s="28" t="s">
        <v>87</v>
      </c>
      <c r="F16" s="29">
        <v>3</v>
      </c>
      <c r="G16" s="29">
        <v>29.25</v>
      </c>
      <c r="H16" s="29">
        <f t="shared" si="0"/>
        <v>87.75</v>
      </c>
    </row>
    <row r="17" spans="2:8" ht="12.75">
      <c r="B17" s="27" t="s">
        <v>211</v>
      </c>
      <c r="C17" s="27"/>
      <c r="D17" s="27"/>
      <c r="E17" s="28" t="s">
        <v>87</v>
      </c>
      <c r="F17" s="29">
        <v>2</v>
      </c>
      <c r="G17" s="29">
        <f>15</f>
        <v>15</v>
      </c>
      <c r="H17" s="29">
        <f t="shared" si="0"/>
        <v>30</v>
      </c>
    </row>
    <row r="18" spans="2:8" ht="12.75">
      <c r="B18" s="27" t="s">
        <v>272</v>
      </c>
      <c r="C18" s="27"/>
      <c r="D18" s="27"/>
      <c r="E18" s="28" t="s">
        <v>240</v>
      </c>
      <c r="F18" s="29">
        <v>27</v>
      </c>
      <c r="G18" s="29">
        <v>19</v>
      </c>
      <c r="H18" s="29">
        <f t="shared" si="0"/>
        <v>513</v>
      </c>
    </row>
    <row r="19" spans="2:8" ht="12.75">
      <c r="B19" s="27" t="s">
        <v>161</v>
      </c>
      <c r="C19" s="27"/>
      <c r="D19" s="27"/>
      <c r="E19" s="28" t="s">
        <v>145</v>
      </c>
      <c r="F19" s="29">
        <v>20</v>
      </c>
      <c r="G19" s="29">
        <v>8</v>
      </c>
      <c r="H19" s="29">
        <f t="shared" si="0"/>
        <v>160</v>
      </c>
    </row>
    <row r="20" spans="2:8" ht="12.75">
      <c r="B20" s="27" t="s">
        <v>52</v>
      </c>
      <c r="C20" s="27"/>
      <c r="D20" s="27"/>
      <c r="E20" s="28" t="s">
        <v>87</v>
      </c>
      <c r="F20" s="29">
        <v>1</v>
      </c>
      <c r="G20" s="29">
        <f>Mach!I16</f>
        <v>29.975172305764413</v>
      </c>
      <c r="H20" s="29">
        <f t="shared" si="0"/>
        <v>29.975172305764413</v>
      </c>
    </row>
    <row r="21" spans="2:8" ht="12.75">
      <c r="B21" s="27" t="s">
        <v>58</v>
      </c>
      <c r="C21" s="27"/>
      <c r="D21" s="27"/>
      <c r="E21" s="28" t="s">
        <v>87</v>
      </c>
      <c r="F21" s="29">
        <v>1</v>
      </c>
      <c r="G21" s="29">
        <v>37</v>
      </c>
      <c r="H21" s="29">
        <f t="shared" si="0"/>
        <v>37</v>
      </c>
    </row>
    <row r="22" spans="2:8" ht="12.75">
      <c r="B22" s="27" t="s">
        <v>157</v>
      </c>
      <c r="C22" s="27"/>
      <c r="D22" s="27"/>
      <c r="E22" s="28" t="s">
        <v>87</v>
      </c>
      <c r="F22" s="29">
        <v>1</v>
      </c>
      <c r="G22" s="29">
        <f>Bud!H38</f>
        <v>32.943639999999995</v>
      </c>
      <c r="H22" s="29">
        <f t="shared" si="0"/>
        <v>32.943639999999995</v>
      </c>
    </row>
    <row r="23" spans="2:8" ht="12.75">
      <c r="B23" s="27" t="s">
        <v>275</v>
      </c>
      <c r="C23" s="27"/>
      <c r="D23" s="27"/>
      <c r="E23" s="28" t="s">
        <v>87</v>
      </c>
      <c r="F23" s="29">
        <v>1</v>
      </c>
      <c r="G23" s="28">
        <v>0</v>
      </c>
      <c r="H23" s="29">
        <f t="shared" si="0"/>
        <v>0</v>
      </c>
    </row>
    <row r="24" spans="2:8" ht="12.75">
      <c r="B24" s="27" t="s">
        <v>153</v>
      </c>
      <c r="C24" s="27"/>
      <c r="D24" s="27"/>
      <c r="E24" s="28"/>
      <c r="F24" s="29">
        <f>SUM(H7:H21)</f>
        <v>942.0851723057644</v>
      </c>
      <c r="G24" s="28">
        <v>0.065</v>
      </c>
      <c r="H24" s="29">
        <f t="shared" si="0"/>
        <v>61.235536199874694</v>
      </c>
    </row>
    <row r="25" spans="2:8" ht="13.5" thickBot="1">
      <c r="B25" s="23" t="s">
        <v>233</v>
      </c>
      <c r="C25" s="27"/>
      <c r="D25" s="27"/>
      <c r="E25" s="28"/>
      <c r="F25" s="28"/>
      <c r="G25" s="28"/>
      <c r="H25" s="47">
        <f>SUM(H12:H24)</f>
        <v>1036.2643485056392</v>
      </c>
    </row>
    <row r="26" spans="2:8" ht="13.5" thickTop="1">
      <c r="B26" s="27"/>
      <c r="C26" s="27"/>
      <c r="D26" s="27"/>
      <c r="E26" s="28"/>
      <c r="F26" s="28"/>
      <c r="G26" s="28"/>
      <c r="H26" s="46"/>
    </row>
    <row r="27" spans="2:8" ht="12.75">
      <c r="B27" s="23" t="s">
        <v>128</v>
      </c>
      <c r="C27" s="23"/>
      <c r="D27" s="27"/>
      <c r="E27" s="28"/>
      <c r="F27" s="28"/>
      <c r="G27" s="28"/>
      <c r="H27" s="28"/>
    </row>
    <row r="28" spans="2:8" ht="12.75">
      <c r="B28" s="27"/>
      <c r="C28" s="27"/>
      <c r="D28" s="27"/>
      <c r="E28" s="28"/>
      <c r="F28" s="28"/>
      <c r="G28" s="28"/>
      <c r="H28" s="28"/>
    </row>
    <row r="29" spans="2:8" ht="12.75">
      <c r="B29" s="27" t="s">
        <v>238</v>
      </c>
      <c r="C29" s="27"/>
      <c r="D29" s="27"/>
      <c r="E29" s="28" t="s">
        <v>87</v>
      </c>
      <c r="F29" s="29">
        <f>FxdCost!I35</f>
        <v>210.881852</v>
      </c>
      <c r="G29" s="29">
        <v>1</v>
      </c>
      <c r="H29" s="29">
        <f>F29*G29</f>
        <v>210.881852</v>
      </c>
    </row>
    <row r="30" spans="2:8" ht="12.75">
      <c r="B30" s="27" t="s">
        <v>170</v>
      </c>
      <c r="C30" s="27"/>
      <c r="D30" s="27"/>
      <c r="E30" s="28" t="s">
        <v>87</v>
      </c>
      <c r="F30" s="29">
        <f>H25</f>
        <v>1036.2643485056392</v>
      </c>
      <c r="G30" s="29">
        <v>0.15</v>
      </c>
      <c r="H30" s="29">
        <f>F30*G30</f>
        <v>155.43965227584587</v>
      </c>
    </row>
    <row r="31" spans="2:8" ht="12.75">
      <c r="B31" s="27" t="s">
        <v>157</v>
      </c>
      <c r="C31" s="27"/>
      <c r="D31" s="27"/>
      <c r="E31" s="28" t="s">
        <v>87</v>
      </c>
      <c r="F31" s="29">
        <v>1</v>
      </c>
      <c r="G31" s="29">
        <f>Drip!I32</f>
        <v>135.99620666666667</v>
      </c>
      <c r="H31" s="29">
        <f>F31*G31</f>
        <v>135.99620666666667</v>
      </c>
    </row>
    <row r="32" spans="2:8" ht="13.5" thickBot="1">
      <c r="B32" s="23" t="s">
        <v>299</v>
      </c>
      <c r="C32" s="27"/>
      <c r="D32" s="27"/>
      <c r="E32" s="28"/>
      <c r="F32" s="28"/>
      <c r="G32" s="28"/>
      <c r="H32" s="47">
        <f>SUM(H29:H31)</f>
        <v>502.3177109425126</v>
      </c>
    </row>
    <row r="33" spans="2:8" ht="13.5" thickTop="1">
      <c r="B33" s="27"/>
      <c r="C33" s="27"/>
      <c r="D33" s="27"/>
      <c r="E33" s="28"/>
      <c r="F33" s="28"/>
      <c r="G33" s="28"/>
      <c r="H33" s="46"/>
    </row>
    <row r="34" spans="2:8" ht="13.5" thickBot="1">
      <c r="B34" s="23" t="s">
        <v>298</v>
      </c>
      <c r="E34" s="3"/>
      <c r="F34" s="3"/>
      <c r="G34" s="3"/>
      <c r="H34" s="43">
        <f>H25+H32</f>
        <v>1538.5820594481518</v>
      </c>
    </row>
    <row r="35" ht="13.5" thickTop="1">
      <c r="H35" s="42"/>
    </row>
    <row r="37" ht="12.75">
      <c r="B37" s="27"/>
    </row>
    <row r="38" ht="12.75">
      <c r="B38" s="1" t="s">
        <v>269</v>
      </c>
    </row>
    <row r="39" ht="12.75">
      <c r="B39" s="1" t="s">
        <v>273</v>
      </c>
    </row>
    <row r="40" spans="1:2" ht="12.75">
      <c r="A40" s="1" t="s">
        <v>77</v>
      </c>
      <c r="B40" s="1" t="s">
        <v>274</v>
      </c>
    </row>
    <row r="44" ht="12.75"/>
    <row r="45" ht="12.75"/>
  </sheetData>
  <sheetProtection/>
  <mergeCells count="2">
    <mergeCell ref="A4:I4"/>
    <mergeCell ref="B5:H5"/>
  </mergeCells>
  <printOptions/>
  <pageMargins left="0.75" right="0.75" top="1" bottom="1" header="0.5" footer="0.5"/>
  <pageSetup horizontalDpi="600" verticalDpi="600" orientation="portrait" r:id="rId2"/>
  <rowBreaks count="1" manualBreakCount="1">
    <brk id="4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2:H39"/>
  <sheetViews>
    <sheetView zoomScalePageLayoutView="0" workbookViewId="0" topLeftCell="A1">
      <selection activeCell="E43" sqref="E43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9.140625" style="1" customWidth="1"/>
    <col min="5" max="5" width="7.421875" style="1" customWidth="1"/>
    <col min="6" max="6" width="7.8515625" style="1" customWidth="1"/>
    <col min="7" max="7" width="6.421875" style="1" customWidth="1"/>
    <col min="8" max="16384" width="9.140625" style="1" customWidth="1"/>
  </cols>
  <sheetData>
    <row r="2" ht="12.75">
      <c r="B2" s="61" t="s">
        <v>303</v>
      </c>
    </row>
    <row r="4" spans="2:8" ht="15.75">
      <c r="B4" s="150" t="s">
        <v>119</v>
      </c>
      <c r="C4" s="151"/>
      <c r="D4" s="151"/>
      <c r="E4" s="151"/>
      <c r="F4" s="151"/>
      <c r="G4" s="151"/>
      <c r="H4" s="151"/>
    </row>
    <row r="5" spans="2:8" ht="15.75">
      <c r="B5" s="147" t="s">
        <v>309</v>
      </c>
      <c r="C5" s="151"/>
      <c r="D5" s="151"/>
      <c r="E5" s="151"/>
      <c r="F5" s="151"/>
      <c r="G5" s="151"/>
      <c r="H5" s="151"/>
    </row>
    <row r="8" spans="2:8" ht="12.75">
      <c r="B8" s="9" t="s">
        <v>160</v>
      </c>
      <c r="E8" s="9" t="s">
        <v>243</v>
      </c>
      <c r="F8" s="9" t="s">
        <v>199</v>
      </c>
      <c r="G8" s="14" t="s">
        <v>194</v>
      </c>
      <c r="H8" s="15" t="s">
        <v>91</v>
      </c>
    </row>
    <row r="10" ht="12.75">
      <c r="B10" s="9" t="s">
        <v>178</v>
      </c>
    </row>
    <row r="12" spans="2:8" ht="12.75">
      <c r="B12" s="1" t="s">
        <v>167</v>
      </c>
      <c r="E12" s="1" t="s">
        <v>220</v>
      </c>
      <c r="F12" s="1">
        <v>0.5</v>
      </c>
      <c r="G12" s="10">
        <v>30</v>
      </c>
      <c r="H12" s="10">
        <f aca="true" t="shared" si="0" ref="H12:H25">F12*G12</f>
        <v>15</v>
      </c>
    </row>
    <row r="13" spans="2:8" ht="12.75">
      <c r="B13" s="1" t="s">
        <v>125</v>
      </c>
      <c r="E13" s="1" t="s">
        <v>241</v>
      </c>
      <c r="F13" s="1">
        <v>81</v>
      </c>
      <c r="G13" s="10">
        <f>Yr1!G13</f>
        <v>3.33</v>
      </c>
      <c r="H13" s="10">
        <f t="shared" si="0"/>
        <v>269.73</v>
      </c>
    </row>
    <row r="14" spans="2:8" ht="12.75">
      <c r="B14" s="1" t="s">
        <v>257</v>
      </c>
      <c r="E14" s="1" t="s">
        <v>163</v>
      </c>
      <c r="F14" s="1">
        <v>35</v>
      </c>
      <c r="G14" s="10">
        <f>Yr1!G14</f>
        <v>0.35</v>
      </c>
      <c r="H14" s="10">
        <f t="shared" si="0"/>
        <v>12.25</v>
      </c>
    </row>
    <row r="15" spans="2:8" ht="12.75">
      <c r="B15" s="1" t="s">
        <v>131</v>
      </c>
      <c r="E15" s="1" t="s">
        <v>87</v>
      </c>
      <c r="F15" s="1">
        <v>2</v>
      </c>
      <c r="G15" s="10">
        <v>2</v>
      </c>
      <c r="H15" s="10">
        <f t="shared" si="0"/>
        <v>4</v>
      </c>
    </row>
    <row r="16" spans="2:8" ht="12.75">
      <c r="B16" s="1" t="s">
        <v>141</v>
      </c>
      <c r="E16" s="1" t="s">
        <v>97</v>
      </c>
      <c r="F16" s="1">
        <v>3</v>
      </c>
      <c r="G16" s="10">
        <f>Yr1!G16</f>
        <v>29.25</v>
      </c>
      <c r="H16" s="10">
        <f t="shared" si="0"/>
        <v>87.75</v>
      </c>
    </row>
    <row r="17" spans="2:8" ht="12.75">
      <c r="B17" s="1" t="s">
        <v>241</v>
      </c>
      <c r="E17" s="1" t="s">
        <v>87</v>
      </c>
      <c r="F17" s="1">
        <v>2</v>
      </c>
      <c r="G17" s="10">
        <v>15</v>
      </c>
      <c r="H17" s="10">
        <f t="shared" si="0"/>
        <v>30</v>
      </c>
    </row>
    <row r="18" spans="2:8" ht="12.75">
      <c r="B18" s="1" t="s">
        <v>135</v>
      </c>
      <c r="E18" s="1" t="s">
        <v>97</v>
      </c>
      <c r="F18" s="1">
        <v>3</v>
      </c>
      <c r="G18" s="10">
        <v>12</v>
      </c>
      <c r="H18" s="10">
        <f t="shared" si="0"/>
        <v>36</v>
      </c>
    </row>
    <row r="19" spans="2:8" ht="12.75">
      <c r="B19" s="1" t="s">
        <v>147</v>
      </c>
      <c r="E19" s="1" t="s">
        <v>97</v>
      </c>
      <c r="F19" s="1">
        <v>3</v>
      </c>
      <c r="G19" s="10">
        <v>25</v>
      </c>
      <c r="H19" s="10">
        <f t="shared" si="0"/>
        <v>75</v>
      </c>
    </row>
    <row r="20" spans="2:8" ht="12.75">
      <c r="B20" s="1" t="s">
        <v>161</v>
      </c>
      <c r="E20" s="1" t="s">
        <v>145</v>
      </c>
      <c r="F20" s="1">
        <v>20</v>
      </c>
      <c r="G20" s="10">
        <v>10</v>
      </c>
      <c r="H20" s="10">
        <f t="shared" si="0"/>
        <v>200</v>
      </c>
    </row>
    <row r="21" spans="2:8" ht="12.75">
      <c r="B21" s="1" t="s">
        <v>133</v>
      </c>
      <c r="E21" s="1" t="s">
        <v>87</v>
      </c>
      <c r="F21" s="10">
        <v>37</v>
      </c>
      <c r="G21" s="10">
        <v>2.5</v>
      </c>
      <c r="H21" s="10">
        <f t="shared" si="0"/>
        <v>92.5</v>
      </c>
    </row>
    <row r="22" spans="2:8" ht="12.75">
      <c r="B22" s="1" t="s">
        <v>201</v>
      </c>
      <c r="E22" s="1" t="s">
        <v>87</v>
      </c>
      <c r="F22" s="1">
        <v>1</v>
      </c>
      <c r="G22" s="10">
        <v>37</v>
      </c>
      <c r="H22" s="10">
        <f t="shared" si="0"/>
        <v>37</v>
      </c>
    </row>
    <row r="23" spans="2:8" ht="12.75">
      <c r="B23" s="1" t="s">
        <v>157</v>
      </c>
      <c r="E23" s="1" t="s">
        <v>87</v>
      </c>
      <c r="F23" s="1">
        <v>1</v>
      </c>
      <c r="G23" s="10">
        <f>Bud!H38</f>
        <v>32.943639999999995</v>
      </c>
      <c r="H23" s="10">
        <f t="shared" si="0"/>
        <v>32.943639999999995</v>
      </c>
    </row>
    <row r="24" spans="2:8" ht="12.75">
      <c r="B24" s="1" t="s">
        <v>162</v>
      </c>
      <c r="E24" s="1" t="s">
        <v>87</v>
      </c>
      <c r="F24" s="1">
        <v>1</v>
      </c>
      <c r="G24" s="1">
        <v>0</v>
      </c>
      <c r="H24" s="10">
        <f t="shared" si="0"/>
        <v>0</v>
      </c>
    </row>
    <row r="25" spans="2:8" ht="12.75">
      <c r="B25" s="1" t="s">
        <v>153</v>
      </c>
      <c r="F25" s="4">
        <f>SUM(H9:H24)</f>
        <v>892.17364</v>
      </c>
      <c r="G25" s="1">
        <v>0.065</v>
      </c>
      <c r="H25" s="10">
        <f t="shared" si="0"/>
        <v>57.9912866</v>
      </c>
    </row>
    <row r="26" spans="2:8" ht="13.5" thickBot="1">
      <c r="B26" s="9" t="s">
        <v>235</v>
      </c>
      <c r="H26" s="49">
        <f>SUM(H12:H25)</f>
        <v>950.1649266</v>
      </c>
    </row>
    <row r="27" ht="13.5" thickTop="1">
      <c r="H27" s="42"/>
    </row>
    <row r="28" ht="12.75">
      <c r="B28" s="9" t="s">
        <v>128</v>
      </c>
    </row>
    <row r="30" spans="2:8" ht="12.75">
      <c r="B30" s="1" t="s">
        <v>238</v>
      </c>
      <c r="E30" s="1" t="s">
        <v>63</v>
      </c>
      <c r="F30" s="1">
        <v>1</v>
      </c>
      <c r="G30" s="10">
        <f>FxdCost!I35</f>
        <v>210.881852</v>
      </c>
      <c r="H30" s="10">
        <f>F30*G30</f>
        <v>210.881852</v>
      </c>
    </row>
    <row r="31" spans="2:8" ht="12.75">
      <c r="B31" s="1" t="s">
        <v>137</v>
      </c>
      <c r="E31" s="1" t="s">
        <v>63</v>
      </c>
      <c r="F31" s="10">
        <f>H26</f>
        <v>950.1649266</v>
      </c>
      <c r="G31" s="10">
        <v>0.15</v>
      </c>
      <c r="H31" s="10">
        <f>H26*G31</f>
        <v>142.52473898999997</v>
      </c>
    </row>
    <row r="32" spans="2:8" ht="12.75">
      <c r="B32" s="1" t="s">
        <v>157</v>
      </c>
      <c r="E32" s="1" t="s">
        <v>87</v>
      </c>
      <c r="F32" s="1">
        <v>1</v>
      </c>
      <c r="G32" s="10">
        <f>Drip!I32</f>
        <v>135.99620666666667</v>
      </c>
      <c r="H32" s="10">
        <f>F32*G32</f>
        <v>135.99620666666667</v>
      </c>
    </row>
    <row r="33" spans="2:8" ht="13.5" thickBot="1">
      <c r="B33" s="23" t="s">
        <v>301</v>
      </c>
      <c r="E33" s="27" t="s">
        <v>63</v>
      </c>
      <c r="H33" s="49">
        <f>SUM(H30:H32)</f>
        <v>489.4027976566666</v>
      </c>
    </row>
    <row r="34" ht="13.5" thickTop="1">
      <c r="H34" s="42"/>
    </row>
    <row r="35" spans="2:8" ht="13.5" thickBot="1">
      <c r="B35" s="23" t="s">
        <v>300</v>
      </c>
      <c r="C35" s="23"/>
      <c r="D35" s="23"/>
      <c r="E35" s="23" t="s">
        <v>63</v>
      </c>
      <c r="F35" s="23"/>
      <c r="G35" s="23"/>
      <c r="H35" s="48">
        <f>H26+H33</f>
        <v>1439.5677242566667</v>
      </c>
    </row>
    <row r="36" ht="13.5" thickTop="1">
      <c r="H36" s="42"/>
    </row>
    <row r="39" ht="12.75">
      <c r="A39" s="1" t="s">
        <v>77</v>
      </c>
    </row>
    <row r="40" ht="12.75"/>
    <row r="41" ht="12.75"/>
  </sheetData>
  <sheetProtection/>
  <mergeCells count="2">
    <mergeCell ref="B4:H4"/>
    <mergeCell ref="B5:H5"/>
  </mergeCells>
  <printOptions/>
  <pageMargins left="0.75" right="0.75" top="1" bottom="1" header="0.5" footer="0.5"/>
  <pageSetup horizontalDpi="600" verticalDpi="600" orientation="portrait" r:id="rId2"/>
  <rowBreaks count="1" manualBreakCount="1">
    <brk id="3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5"/>
  </sheetPr>
  <dimension ref="A2:H57"/>
  <sheetViews>
    <sheetView zoomScalePageLayoutView="0" workbookViewId="0" topLeftCell="A1">
      <selection activeCell="E47" sqref="E47"/>
    </sheetView>
  </sheetViews>
  <sheetFormatPr defaultColWidth="10.57421875" defaultRowHeight="12.75"/>
  <cols>
    <col min="1" max="1" width="10.57421875" style="1" customWidth="1"/>
    <col min="2" max="2" width="35.140625" style="1" customWidth="1"/>
    <col min="3" max="3" width="2.57421875" style="1" customWidth="1"/>
    <col min="4" max="16384" width="10.57421875" style="1" customWidth="1"/>
  </cols>
  <sheetData>
    <row r="2" ht="12.75">
      <c r="B2" s="61" t="s">
        <v>303</v>
      </c>
    </row>
    <row r="4" spans="2:8" ht="15.75">
      <c r="B4" s="150" t="s">
        <v>120</v>
      </c>
      <c r="C4" s="151"/>
      <c r="D4" s="151"/>
      <c r="E4" s="151"/>
      <c r="F4" s="151"/>
      <c r="G4" s="151"/>
      <c r="H4" s="151"/>
    </row>
    <row r="5" spans="2:8" ht="15.75">
      <c r="B5" s="147" t="s">
        <v>310</v>
      </c>
      <c r="C5" s="151"/>
      <c r="D5" s="151"/>
      <c r="E5" s="151"/>
      <c r="F5" s="151"/>
      <c r="G5" s="151"/>
      <c r="H5" s="151"/>
    </row>
    <row r="7" spans="2:8" ht="12.75">
      <c r="B7" s="12" t="s">
        <v>160</v>
      </c>
      <c r="C7" s="12"/>
      <c r="D7" s="12"/>
      <c r="E7" s="12" t="s">
        <v>243</v>
      </c>
      <c r="F7" s="12" t="s">
        <v>199</v>
      </c>
      <c r="G7" s="6" t="s">
        <v>194</v>
      </c>
      <c r="H7" s="5" t="s">
        <v>91</v>
      </c>
    </row>
    <row r="9" ht="12.75">
      <c r="B9" s="23" t="s">
        <v>178</v>
      </c>
    </row>
    <row r="11" spans="2:8" ht="12.75">
      <c r="B11" s="1" t="s">
        <v>167</v>
      </c>
      <c r="E11" s="3" t="s">
        <v>220</v>
      </c>
      <c r="F11" s="1">
        <v>0.5</v>
      </c>
      <c r="G11" s="10">
        <v>30</v>
      </c>
      <c r="H11" s="10">
        <f aca="true" t="shared" si="0" ref="H11:H25">F11*G11</f>
        <v>15</v>
      </c>
    </row>
    <row r="12" spans="2:8" ht="12.75">
      <c r="B12" s="1" t="s">
        <v>90</v>
      </c>
      <c r="E12" s="3" t="s">
        <v>163</v>
      </c>
      <c r="F12" s="1">
        <v>100</v>
      </c>
      <c r="G12" s="10">
        <v>0.48</v>
      </c>
      <c r="H12" s="10">
        <f t="shared" si="0"/>
        <v>48</v>
      </c>
    </row>
    <row r="13" spans="2:8" ht="12.75">
      <c r="B13" s="1" t="s">
        <v>187</v>
      </c>
      <c r="E13" s="3" t="s">
        <v>87</v>
      </c>
      <c r="F13" s="1">
        <v>40</v>
      </c>
      <c r="G13" s="10">
        <v>0.51</v>
      </c>
      <c r="H13" s="10">
        <f t="shared" si="0"/>
        <v>20.4</v>
      </c>
    </row>
    <row r="14" spans="2:8" ht="12.75">
      <c r="B14" s="1" t="s">
        <v>190</v>
      </c>
      <c r="E14" s="3" t="s">
        <v>87</v>
      </c>
      <c r="F14" s="1">
        <v>40</v>
      </c>
      <c r="G14" s="10">
        <v>0.39</v>
      </c>
      <c r="H14" s="10">
        <f t="shared" si="0"/>
        <v>15.600000000000001</v>
      </c>
    </row>
    <row r="15" spans="2:8" ht="12.75">
      <c r="B15" s="1" t="s">
        <v>257</v>
      </c>
      <c r="E15" s="3" t="s">
        <v>163</v>
      </c>
      <c r="F15" s="1">
        <v>50</v>
      </c>
      <c r="G15" s="10">
        <f>Yr1!G14</f>
        <v>0.35</v>
      </c>
      <c r="H15" s="10">
        <f t="shared" si="0"/>
        <v>17.5</v>
      </c>
    </row>
    <row r="16" spans="2:8" ht="12.75">
      <c r="B16" s="1" t="s">
        <v>131</v>
      </c>
      <c r="E16" s="3" t="s">
        <v>97</v>
      </c>
      <c r="F16" s="1">
        <v>3</v>
      </c>
      <c r="G16" s="10">
        <v>2</v>
      </c>
      <c r="H16" s="10">
        <f t="shared" si="0"/>
        <v>6</v>
      </c>
    </row>
    <row r="17" spans="2:8" ht="12.75">
      <c r="B17" s="1" t="s">
        <v>135</v>
      </c>
      <c r="E17" s="3" t="s">
        <v>97</v>
      </c>
      <c r="F17" s="1">
        <v>4</v>
      </c>
      <c r="G17" s="10">
        <v>12</v>
      </c>
      <c r="H17" s="10">
        <f t="shared" si="0"/>
        <v>48</v>
      </c>
    </row>
    <row r="18" spans="2:8" ht="12.75">
      <c r="B18" s="1" t="s">
        <v>141</v>
      </c>
      <c r="E18" s="3" t="s">
        <v>97</v>
      </c>
      <c r="F18" s="1">
        <v>3</v>
      </c>
      <c r="G18" s="10">
        <v>29.25</v>
      </c>
      <c r="H18" s="10">
        <f t="shared" si="0"/>
        <v>87.75</v>
      </c>
    </row>
    <row r="19" spans="2:8" ht="12.75">
      <c r="B19" s="1" t="s">
        <v>148</v>
      </c>
      <c r="E19" s="3" t="s">
        <v>97</v>
      </c>
      <c r="F19" s="1">
        <v>5</v>
      </c>
      <c r="G19" s="10">
        <v>25</v>
      </c>
      <c r="H19" s="10">
        <f t="shared" si="0"/>
        <v>125</v>
      </c>
    </row>
    <row r="20" spans="2:8" ht="12.75">
      <c r="B20" s="1" t="s">
        <v>241</v>
      </c>
      <c r="E20" s="3" t="s">
        <v>241</v>
      </c>
      <c r="F20" s="1">
        <v>2</v>
      </c>
      <c r="G20" s="10">
        <v>15</v>
      </c>
      <c r="H20" s="10">
        <f t="shared" si="0"/>
        <v>30</v>
      </c>
    </row>
    <row r="21" spans="2:8" ht="12.75">
      <c r="B21" s="1" t="s">
        <v>161</v>
      </c>
      <c r="E21" s="3" t="s">
        <v>145</v>
      </c>
      <c r="F21" s="1">
        <v>23</v>
      </c>
      <c r="G21" s="10">
        <v>10</v>
      </c>
      <c r="H21" s="10">
        <f t="shared" si="0"/>
        <v>230</v>
      </c>
    </row>
    <row r="22" spans="2:8" ht="12.75">
      <c r="B22" s="1" t="s">
        <v>133</v>
      </c>
      <c r="E22" s="3" t="s">
        <v>87</v>
      </c>
      <c r="F22" s="10">
        <v>37</v>
      </c>
      <c r="G22" s="10">
        <v>2.5</v>
      </c>
      <c r="H22" s="10">
        <f t="shared" si="0"/>
        <v>92.5</v>
      </c>
    </row>
    <row r="23" spans="2:8" ht="12.75">
      <c r="B23" s="1" t="s">
        <v>204</v>
      </c>
      <c r="E23" s="3" t="s">
        <v>87</v>
      </c>
      <c r="F23" s="1">
        <v>1</v>
      </c>
      <c r="G23" s="10">
        <v>37</v>
      </c>
      <c r="H23" s="10">
        <f t="shared" si="0"/>
        <v>37</v>
      </c>
    </row>
    <row r="24" spans="2:8" ht="12.75">
      <c r="B24" s="1" t="s">
        <v>156</v>
      </c>
      <c r="E24" s="3" t="s">
        <v>87</v>
      </c>
      <c r="F24" s="1">
        <v>1</v>
      </c>
      <c r="G24" s="10">
        <f>Bud!H38</f>
        <v>32.943639999999995</v>
      </c>
      <c r="H24" s="10">
        <f t="shared" si="0"/>
        <v>32.943639999999995</v>
      </c>
    </row>
    <row r="25" spans="2:8" ht="12.75">
      <c r="B25" s="1" t="s">
        <v>153</v>
      </c>
      <c r="E25" s="3"/>
      <c r="F25" s="4">
        <f>SUM(H10:H24)</f>
        <v>805.69364</v>
      </c>
      <c r="G25" s="1">
        <v>0.065</v>
      </c>
      <c r="H25" s="10">
        <f t="shared" si="0"/>
        <v>52.3700866</v>
      </c>
    </row>
    <row r="26" spans="2:8" ht="13.5" thickBot="1">
      <c r="B26" s="9" t="s">
        <v>234</v>
      </c>
      <c r="E26" s="3"/>
      <c r="H26" s="49">
        <f>SUM(H11:H25)</f>
        <v>858.0637266</v>
      </c>
    </row>
    <row r="27" ht="13.5" thickTop="1">
      <c r="H27" s="42"/>
    </row>
    <row r="28" ht="12.75">
      <c r="B28" s="9" t="s">
        <v>128</v>
      </c>
    </row>
    <row r="30" spans="2:8" ht="12.75">
      <c r="B30" s="1" t="s">
        <v>239</v>
      </c>
      <c r="E30" s="3" t="s">
        <v>63</v>
      </c>
      <c r="F30" s="1">
        <v>1</v>
      </c>
      <c r="G30" s="10">
        <f>FxdCost!I35</f>
        <v>210.881852</v>
      </c>
      <c r="H30" s="10">
        <f>F30*G30</f>
        <v>210.881852</v>
      </c>
    </row>
    <row r="31" spans="2:8" ht="12.75">
      <c r="B31" s="1" t="s">
        <v>137</v>
      </c>
      <c r="E31" s="3" t="s">
        <v>63</v>
      </c>
      <c r="F31" s="10">
        <f>H26</f>
        <v>858.0637266</v>
      </c>
      <c r="G31" s="10">
        <v>0.15</v>
      </c>
      <c r="H31" s="10">
        <f>H26*G31</f>
        <v>128.70955899</v>
      </c>
    </row>
    <row r="32" spans="2:8" ht="12.75">
      <c r="B32" s="1" t="s">
        <v>157</v>
      </c>
      <c r="E32" s="3" t="s">
        <v>63</v>
      </c>
      <c r="F32" s="1">
        <v>1</v>
      </c>
      <c r="G32" s="10">
        <f>Drip!I32</f>
        <v>135.99620666666667</v>
      </c>
      <c r="H32" s="10">
        <f>F32*G32</f>
        <v>135.99620666666667</v>
      </c>
    </row>
    <row r="33" spans="2:8" ht="13.5" thickBot="1">
      <c r="B33" s="23" t="s">
        <v>302</v>
      </c>
      <c r="E33" s="3"/>
      <c r="H33" s="49">
        <f>SUM(H30:H32)</f>
        <v>475.5876176566667</v>
      </c>
    </row>
    <row r="34" spans="5:8" ht="13.5" thickTop="1">
      <c r="E34" s="3"/>
      <c r="H34" s="50"/>
    </row>
    <row r="35" spans="2:8" ht="13.5" thickBot="1">
      <c r="B35" s="23" t="s">
        <v>300</v>
      </c>
      <c r="E35" s="28" t="s">
        <v>63</v>
      </c>
      <c r="H35" s="49">
        <f>H26+H33</f>
        <v>1333.6513442566666</v>
      </c>
    </row>
    <row r="36" ht="13.5" thickTop="1">
      <c r="H36" s="50"/>
    </row>
    <row r="38" ht="12.75"/>
    <row r="39" ht="12.75"/>
    <row r="40" ht="12.75"/>
    <row r="41" spans="2:8" ht="15.75">
      <c r="B41" s="150"/>
      <c r="C41" s="151"/>
      <c r="D41" s="151"/>
      <c r="E41" s="151"/>
      <c r="F41" s="151"/>
      <c r="G41" s="151"/>
      <c r="H41" s="151"/>
    </row>
    <row r="45" spans="6:8" ht="12.75">
      <c r="F45" s="10"/>
      <c r="G45" s="7"/>
      <c r="H45" s="7"/>
    </row>
    <row r="46" spans="6:8" ht="12.75">
      <c r="F46" s="10"/>
      <c r="G46" s="7"/>
      <c r="H46" s="7"/>
    </row>
    <row r="47" spans="6:8" ht="12.75">
      <c r="F47" s="10"/>
      <c r="G47" s="7"/>
      <c r="H47" s="7"/>
    </row>
    <row r="48" spans="6:8" ht="12.75">
      <c r="F48" s="10"/>
      <c r="G48" s="7"/>
      <c r="H48" s="7"/>
    </row>
    <row r="49" spans="6:8" ht="12.75">
      <c r="F49" s="10"/>
      <c r="G49" s="7"/>
      <c r="H49" s="7"/>
    </row>
    <row r="50" spans="6:8" ht="12.75">
      <c r="F50" s="10"/>
      <c r="G50" s="7"/>
      <c r="H50" s="7"/>
    </row>
    <row r="51" spans="6:8" ht="12.75">
      <c r="F51" s="10"/>
      <c r="G51" s="7"/>
      <c r="H51" s="7"/>
    </row>
    <row r="52" spans="2:8" ht="12.75">
      <c r="B52" s="9"/>
      <c r="H52" s="15"/>
    </row>
    <row r="56" spans="2:8" ht="12.75">
      <c r="B56" s="9"/>
      <c r="H56" s="15"/>
    </row>
    <row r="57" ht="12.75">
      <c r="A57" s="1" t="s">
        <v>77</v>
      </c>
    </row>
  </sheetData>
  <sheetProtection/>
  <mergeCells count="3">
    <mergeCell ref="B4:H4"/>
    <mergeCell ref="B5:H5"/>
    <mergeCell ref="B41:H41"/>
  </mergeCells>
  <printOptions/>
  <pageMargins left="0.75" right="0.75" top="1" bottom="1" header="0.5" footer="0.5"/>
  <pageSetup horizontalDpi="600" verticalDpi="600" orientation="portrait" r:id="rId2"/>
  <rowBreaks count="1" manualBreakCount="1">
    <brk id="5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2:I58"/>
  <sheetViews>
    <sheetView zoomScalePageLayoutView="0" workbookViewId="0" topLeftCell="A1">
      <selection activeCell="G47" sqref="G47"/>
    </sheetView>
  </sheetViews>
  <sheetFormatPr defaultColWidth="9.140625" defaultRowHeight="12.75"/>
  <cols>
    <col min="1" max="1" width="4.8515625" style="1" customWidth="1"/>
    <col min="2" max="2" width="10.28125" style="1" customWidth="1"/>
    <col min="3" max="16384" width="9.140625" style="1" customWidth="1"/>
  </cols>
  <sheetData>
    <row r="2" ht="12.75">
      <c r="B2" s="61" t="s">
        <v>303</v>
      </c>
    </row>
    <row r="4" spans="3:8" ht="15.75">
      <c r="C4" s="152" t="s">
        <v>306</v>
      </c>
      <c r="D4" s="148"/>
      <c r="E4" s="148"/>
      <c r="F4" s="148"/>
      <c r="G4" s="148"/>
      <c r="H4" s="148"/>
    </row>
    <row r="7" spans="2:9" ht="12.75">
      <c r="B7" s="6" t="s">
        <v>159</v>
      </c>
      <c r="C7" s="3"/>
      <c r="D7" s="6" t="s">
        <v>242</v>
      </c>
      <c r="E7" s="6" t="s">
        <v>200</v>
      </c>
      <c r="F7" s="3"/>
      <c r="G7" s="6" t="s">
        <v>193</v>
      </c>
      <c r="H7" s="3"/>
      <c r="I7" s="6" t="s">
        <v>92</v>
      </c>
    </row>
    <row r="8" spans="7:9" ht="12.75">
      <c r="G8" s="11"/>
      <c r="I8" s="11"/>
    </row>
    <row r="9" spans="2:9" ht="12.75">
      <c r="B9" s="1" t="s">
        <v>140</v>
      </c>
      <c r="D9" s="1" t="s">
        <v>98</v>
      </c>
      <c r="E9" s="1">
        <v>1</v>
      </c>
      <c r="G9" s="17">
        <v>0</v>
      </c>
      <c r="I9" s="17">
        <f>E9*G9</f>
        <v>0</v>
      </c>
    </row>
    <row r="10" spans="2:9" ht="12.75">
      <c r="B10" s="27" t="s">
        <v>276</v>
      </c>
      <c r="D10" s="1" t="s">
        <v>98</v>
      </c>
      <c r="E10" s="1">
        <v>1</v>
      </c>
      <c r="G10" s="17">
        <v>0</v>
      </c>
      <c r="I10" s="17">
        <f>E10*G10</f>
        <v>0</v>
      </c>
    </row>
    <row r="11" spans="2:9" ht="12.75">
      <c r="B11" s="27" t="s">
        <v>277</v>
      </c>
      <c r="D11" s="1" t="s">
        <v>98</v>
      </c>
      <c r="E11" s="1">
        <v>1</v>
      </c>
      <c r="G11" s="17">
        <v>0</v>
      </c>
      <c r="I11" s="17">
        <f>E11*G11</f>
        <v>0</v>
      </c>
    </row>
    <row r="12" spans="2:9" ht="13.5" thickBot="1">
      <c r="B12" s="23" t="s">
        <v>278</v>
      </c>
      <c r="C12" s="23"/>
      <c r="D12" s="23"/>
      <c r="E12" s="23"/>
      <c r="F12" s="23"/>
      <c r="G12" s="36"/>
      <c r="H12" s="23"/>
      <c r="I12" s="52">
        <f>SUM(I9:I11)</f>
        <v>0</v>
      </c>
    </row>
    <row r="13" spans="7:9" ht="13.5" thickTop="1">
      <c r="G13" s="17"/>
      <c r="I13" s="51"/>
    </row>
    <row r="14" spans="2:9" ht="12.75">
      <c r="B14" s="27" t="s">
        <v>147</v>
      </c>
      <c r="D14" s="1" t="s">
        <v>98</v>
      </c>
      <c r="E14" s="1">
        <v>1</v>
      </c>
      <c r="G14" s="17">
        <v>0</v>
      </c>
      <c r="I14" s="17">
        <v>18</v>
      </c>
    </row>
    <row r="15" spans="2:9" ht="12.75">
      <c r="B15" s="1" t="s">
        <v>147</v>
      </c>
      <c r="D15" s="1" t="s">
        <v>98</v>
      </c>
      <c r="E15" s="1">
        <v>3</v>
      </c>
      <c r="G15" s="17">
        <v>0</v>
      </c>
      <c r="I15" s="17">
        <f>E15*G15</f>
        <v>0</v>
      </c>
    </row>
    <row r="16" spans="2:9" ht="12.75">
      <c r="B16" s="1" t="s">
        <v>147</v>
      </c>
      <c r="D16" s="1" t="s">
        <v>98</v>
      </c>
      <c r="E16" s="1">
        <v>1</v>
      </c>
      <c r="G16" s="17">
        <v>0</v>
      </c>
      <c r="I16" s="17">
        <f>E16*G16</f>
        <v>0</v>
      </c>
    </row>
    <row r="17" spans="2:9" ht="12.75">
      <c r="B17" s="1" t="s">
        <v>147</v>
      </c>
      <c r="D17" s="1" t="s">
        <v>98</v>
      </c>
      <c r="E17" s="1">
        <v>3</v>
      </c>
      <c r="G17" s="17">
        <v>0</v>
      </c>
      <c r="I17" s="17">
        <f>E17*G17</f>
        <v>0</v>
      </c>
    </row>
    <row r="18" spans="2:9" ht="12.75">
      <c r="B18" s="1" t="s">
        <v>147</v>
      </c>
      <c r="D18" s="1" t="s">
        <v>98</v>
      </c>
      <c r="E18" s="1">
        <v>0</v>
      </c>
      <c r="G18" s="17">
        <v>0</v>
      </c>
      <c r="I18" s="17">
        <f>E18*G18</f>
        <v>0</v>
      </c>
    </row>
    <row r="19" spans="2:9" ht="13.5" thickBot="1">
      <c r="B19" s="23" t="s">
        <v>221</v>
      </c>
      <c r="C19" s="23"/>
      <c r="D19" s="23"/>
      <c r="E19" s="23"/>
      <c r="F19" s="23"/>
      <c r="G19" s="36"/>
      <c r="H19" s="23"/>
      <c r="I19" s="52">
        <f>SUM(I14:I18)</f>
        <v>18</v>
      </c>
    </row>
    <row r="20" spans="7:9" ht="13.5" thickTop="1">
      <c r="G20" s="17"/>
      <c r="I20" s="51"/>
    </row>
    <row r="21" spans="2:9" ht="12.75">
      <c r="B21" s="1" t="s">
        <v>134</v>
      </c>
      <c r="D21" s="1" t="s">
        <v>98</v>
      </c>
      <c r="E21" s="1">
        <v>5</v>
      </c>
      <c r="G21" s="17">
        <v>0</v>
      </c>
      <c r="I21" s="17">
        <f aca="true" t="shared" si="0" ref="I21:I26">E21*G21</f>
        <v>0</v>
      </c>
    </row>
    <row r="22" spans="2:9" ht="12.75">
      <c r="B22" s="1" t="s">
        <v>134</v>
      </c>
      <c r="D22" s="1" t="s">
        <v>98</v>
      </c>
      <c r="E22" s="1">
        <v>5</v>
      </c>
      <c r="G22" s="17">
        <v>0</v>
      </c>
      <c r="I22" s="17">
        <f t="shared" si="0"/>
        <v>0</v>
      </c>
    </row>
    <row r="23" spans="2:9" ht="12.75">
      <c r="B23" s="1" t="s">
        <v>134</v>
      </c>
      <c r="D23" s="1" t="s">
        <v>98</v>
      </c>
      <c r="E23" s="1">
        <v>0</v>
      </c>
      <c r="G23" s="17">
        <v>0</v>
      </c>
      <c r="I23" s="17">
        <f t="shared" si="0"/>
        <v>0</v>
      </c>
    </row>
    <row r="24" spans="2:9" ht="12.75">
      <c r="B24" s="1" t="s">
        <v>134</v>
      </c>
      <c r="D24" s="1" t="s">
        <v>98</v>
      </c>
      <c r="E24" s="1">
        <v>0</v>
      </c>
      <c r="G24" s="17">
        <v>0</v>
      </c>
      <c r="I24" s="17">
        <f t="shared" si="0"/>
        <v>0</v>
      </c>
    </row>
    <row r="25" spans="2:9" ht="12.75">
      <c r="B25" s="1" t="s">
        <v>134</v>
      </c>
      <c r="D25" s="1" t="s">
        <v>98</v>
      </c>
      <c r="E25" s="1">
        <v>0</v>
      </c>
      <c r="G25" s="17">
        <v>0</v>
      </c>
      <c r="I25" s="17">
        <f t="shared" si="0"/>
        <v>0</v>
      </c>
    </row>
    <row r="26" spans="2:9" ht="12.75">
      <c r="B26" s="1" t="s">
        <v>134</v>
      </c>
      <c r="D26" s="1" t="s">
        <v>98</v>
      </c>
      <c r="E26" s="1">
        <v>0</v>
      </c>
      <c r="G26" s="17">
        <v>0</v>
      </c>
      <c r="I26" s="17">
        <f t="shared" si="0"/>
        <v>0</v>
      </c>
    </row>
    <row r="27" spans="2:9" ht="13.5" thickBot="1">
      <c r="B27" s="23" t="s">
        <v>221</v>
      </c>
      <c r="G27" s="17"/>
      <c r="I27" s="52">
        <f>SUM(I21:I26)</f>
        <v>0</v>
      </c>
    </row>
    <row r="28" spans="7:9" ht="13.5" thickTop="1">
      <c r="G28" s="17"/>
      <c r="I28" s="51"/>
    </row>
    <row r="29" spans="2:9" ht="12.75">
      <c r="B29" s="1" t="s">
        <v>180</v>
      </c>
      <c r="D29" s="1" t="s">
        <v>98</v>
      </c>
      <c r="E29" s="1">
        <v>0</v>
      </c>
      <c r="G29" s="17">
        <v>0</v>
      </c>
      <c r="I29" s="17">
        <f>E29*G29</f>
        <v>0</v>
      </c>
    </row>
    <row r="30" spans="2:9" ht="12.75">
      <c r="B30" s="1" t="s">
        <v>180</v>
      </c>
      <c r="D30" s="1" t="s">
        <v>98</v>
      </c>
      <c r="E30" s="1">
        <v>0</v>
      </c>
      <c r="G30" s="17">
        <v>0</v>
      </c>
      <c r="I30" s="17">
        <f>E30*G30</f>
        <v>0</v>
      </c>
    </row>
    <row r="31" spans="2:9" ht="12.75">
      <c r="B31" s="1" t="s">
        <v>180</v>
      </c>
      <c r="D31" s="1" t="s">
        <v>98</v>
      </c>
      <c r="E31" s="1">
        <v>0</v>
      </c>
      <c r="G31" s="17">
        <v>0</v>
      </c>
      <c r="I31" s="17">
        <f>E31*G31</f>
        <v>0</v>
      </c>
    </row>
    <row r="32" spans="2:9" ht="12.75">
      <c r="B32" s="1" t="s">
        <v>180</v>
      </c>
      <c r="D32" s="1" t="s">
        <v>98</v>
      </c>
      <c r="E32" s="1">
        <v>0</v>
      </c>
      <c r="G32" s="17">
        <v>0</v>
      </c>
      <c r="I32" s="17">
        <f>E32*G32</f>
        <v>0</v>
      </c>
    </row>
    <row r="33" spans="2:9" ht="12.75">
      <c r="B33" s="23" t="s">
        <v>278</v>
      </c>
      <c r="C33" s="23"/>
      <c r="D33" s="23"/>
      <c r="E33" s="23"/>
      <c r="F33" s="23"/>
      <c r="G33" s="36"/>
      <c r="H33" s="23"/>
      <c r="I33" s="36">
        <v>0</v>
      </c>
    </row>
    <row r="34" spans="2:9" ht="13.5" thickBot="1">
      <c r="B34" s="24" t="s">
        <v>279</v>
      </c>
      <c r="G34" s="17"/>
      <c r="I34" s="54">
        <f>I12+I19+I27+I33</f>
        <v>18</v>
      </c>
    </row>
    <row r="35" ht="13.5" thickTop="1">
      <c r="I35" s="53"/>
    </row>
    <row r="36" spans="1:9" ht="12.75">
      <c r="A36" s="1" t="s">
        <v>77</v>
      </c>
      <c r="I36" s="18"/>
    </row>
    <row r="37" ht="12.75">
      <c r="I37" s="18"/>
    </row>
    <row r="38" ht="12.75">
      <c r="I38" s="18"/>
    </row>
    <row r="39" ht="12.75">
      <c r="I39" s="18"/>
    </row>
    <row r="40" ht="12.75">
      <c r="I40" s="18"/>
    </row>
    <row r="41" ht="12.75">
      <c r="I41" s="18"/>
    </row>
    <row r="42" ht="12.75">
      <c r="I42" s="18"/>
    </row>
    <row r="43" ht="12.75">
      <c r="I43" s="18"/>
    </row>
    <row r="44" ht="12.75">
      <c r="I44" s="18"/>
    </row>
    <row r="45" ht="12.75">
      <c r="I45" s="18"/>
    </row>
    <row r="46" ht="12.75">
      <c r="I46" s="18"/>
    </row>
    <row r="47" ht="12.75">
      <c r="I47" s="18"/>
    </row>
    <row r="48" ht="12.75">
      <c r="I48" s="18"/>
    </row>
    <row r="49" ht="12.75">
      <c r="I49" s="18"/>
    </row>
    <row r="50" ht="12.75">
      <c r="I50" s="18"/>
    </row>
    <row r="51" ht="12.75">
      <c r="I51" s="18"/>
    </row>
    <row r="52" ht="12.75">
      <c r="I52" s="18"/>
    </row>
    <row r="53" ht="12.75">
      <c r="I53" s="18"/>
    </row>
    <row r="54" ht="12.75">
      <c r="I54" s="18"/>
    </row>
    <row r="55" ht="12.75">
      <c r="I55" s="18"/>
    </row>
    <row r="56" ht="12.75">
      <c r="I56" s="18"/>
    </row>
    <row r="57" ht="12.75">
      <c r="I57" s="18"/>
    </row>
    <row r="58" ht="12.75">
      <c r="I58" s="18"/>
    </row>
  </sheetData>
  <sheetProtection/>
  <mergeCells count="1">
    <mergeCell ref="C4:H4"/>
  </mergeCells>
  <printOptions/>
  <pageMargins left="0.75" right="0.75" top="1" bottom="1" header="0.5" footer="0.5"/>
  <pageSetup horizontalDpi="600" verticalDpi="600" orientation="portrait" r:id="rId2"/>
  <rowBreaks count="1" manualBreakCount="1">
    <brk id="36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2:L59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4.140625" style="1" customWidth="1"/>
    <col min="2" max="2" width="9.140625" style="1" customWidth="1"/>
    <col min="3" max="3" width="7.00390625" style="1" customWidth="1"/>
    <col min="4" max="4" width="19.57421875" style="1" customWidth="1"/>
    <col min="5" max="5" width="8.28125" style="1" customWidth="1"/>
    <col min="6" max="7" width="8.140625" style="1" customWidth="1"/>
    <col min="8" max="8" width="7.7109375" style="1" customWidth="1"/>
    <col min="9" max="9" width="7.28125" style="1" customWidth="1"/>
    <col min="10" max="11" width="7.57421875" style="1" customWidth="1"/>
    <col min="12" max="12" width="5.28125" style="1" customWidth="1"/>
    <col min="13" max="16384" width="9.140625" style="1" customWidth="1"/>
  </cols>
  <sheetData>
    <row r="2" spans="2:11" ht="12.75">
      <c r="B2" s="61" t="s">
        <v>303</v>
      </c>
      <c r="D2" s="4"/>
      <c r="E2" s="4"/>
      <c r="F2" s="4"/>
      <c r="G2" s="4"/>
      <c r="H2" s="4"/>
      <c r="I2" s="4"/>
      <c r="J2" s="4"/>
      <c r="K2" s="4"/>
    </row>
    <row r="3" spans="4:11" ht="12.75">
      <c r="D3" s="4"/>
      <c r="E3" s="4"/>
      <c r="F3" s="4"/>
      <c r="G3" s="4"/>
      <c r="H3" s="4"/>
      <c r="I3" s="4"/>
      <c r="J3" s="4"/>
      <c r="K3" s="4"/>
    </row>
    <row r="4" spans="4:11" ht="15.75">
      <c r="D4" s="16" t="s">
        <v>304</v>
      </c>
      <c r="E4" s="6"/>
      <c r="F4" s="6"/>
      <c r="G4" s="6"/>
      <c r="H4" s="6"/>
      <c r="I4" s="6"/>
      <c r="J4" s="6"/>
      <c r="K4" s="6"/>
    </row>
    <row r="5" spans="4:11" ht="12.75">
      <c r="D5" s="4"/>
      <c r="E5" s="4"/>
      <c r="F5" s="4"/>
      <c r="G5" s="4"/>
      <c r="H5" s="4"/>
      <c r="I5" s="4"/>
      <c r="J5" s="4"/>
      <c r="K5" s="4"/>
    </row>
    <row r="6" spans="4:11" ht="12.75">
      <c r="D6" s="4" t="s">
        <v>118</v>
      </c>
      <c r="E6" s="4" t="s">
        <v>126</v>
      </c>
      <c r="F6" s="2" t="s">
        <v>126</v>
      </c>
      <c r="G6" s="4" t="s">
        <v>88</v>
      </c>
      <c r="H6" s="4" t="s">
        <v>176</v>
      </c>
      <c r="I6" s="4" t="s">
        <v>133</v>
      </c>
      <c r="J6" s="4" t="s">
        <v>169</v>
      </c>
      <c r="K6" s="4" t="s">
        <v>161</v>
      </c>
    </row>
    <row r="7" spans="4:11" ht="12.75">
      <c r="D7" s="4" t="s">
        <v>249</v>
      </c>
      <c r="E7" s="4" t="s">
        <v>210</v>
      </c>
      <c r="F7" s="2" t="s">
        <v>116</v>
      </c>
      <c r="G7" s="4" t="s">
        <v>184</v>
      </c>
      <c r="H7" s="4" t="s">
        <v>219</v>
      </c>
      <c r="I7" s="4" t="s">
        <v>244</v>
      </c>
      <c r="J7" s="4" t="s">
        <v>202</v>
      </c>
      <c r="K7" s="4" t="s">
        <v>244</v>
      </c>
    </row>
    <row r="8" spans="2:11" ht="12.75">
      <c r="B8" s="1" t="s">
        <v>56</v>
      </c>
      <c r="D8" s="4" t="s">
        <v>67</v>
      </c>
      <c r="E8" s="4" t="s">
        <v>70</v>
      </c>
      <c r="F8" s="2" t="s">
        <v>65</v>
      </c>
      <c r="G8" s="4" t="s">
        <v>143</v>
      </c>
      <c r="H8" s="4" t="s">
        <v>181</v>
      </c>
      <c r="I8" s="4" t="s">
        <v>68</v>
      </c>
      <c r="J8" s="4" t="s">
        <v>66</v>
      </c>
      <c r="K8" s="4" t="s">
        <v>69</v>
      </c>
    </row>
    <row r="9" spans="4:11" ht="12.75">
      <c r="D9" s="4"/>
      <c r="E9" s="4"/>
      <c r="F9" s="4"/>
      <c r="G9" s="4"/>
      <c r="H9" s="4"/>
      <c r="I9" s="4"/>
      <c r="J9" s="4"/>
      <c r="K9" s="4"/>
    </row>
    <row r="10" spans="2:11" ht="12.75">
      <c r="B10" s="9" t="s">
        <v>191</v>
      </c>
      <c r="D10" s="4"/>
      <c r="E10" s="4"/>
      <c r="F10" s="4"/>
      <c r="G10" s="4"/>
      <c r="H10" s="4"/>
      <c r="I10" s="4"/>
      <c r="J10" s="4"/>
      <c r="K10" s="4"/>
    </row>
    <row r="11" spans="2:11" ht="12.75">
      <c r="B11" s="1" t="s">
        <v>61</v>
      </c>
      <c r="D11" s="4"/>
      <c r="E11" s="4"/>
      <c r="F11" s="4"/>
      <c r="G11" s="4" t="s">
        <v>0</v>
      </c>
      <c r="H11" s="2" t="s">
        <v>0</v>
      </c>
      <c r="I11" s="4"/>
      <c r="J11" s="4" t="s">
        <v>0</v>
      </c>
      <c r="K11" s="4" t="s">
        <v>0</v>
      </c>
    </row>
    <row r="12" spans="2:11" ht="12.75">
      <c r="B12" s="1" t="s">
        <v>5</v>
      </c>
      <c r="D12" s="4">
        <v>20</v>
      </c>
      <c r="E12" s="4">
        <v>3</v>
      </c>
      <c r="F12" s="2">
        <v>70</v>
      </c>
      <c r="G12" s="4">
        <f>(D12*E12*(F12/100))/8.25</f>
        <v>5.090909090909091</v>
      </c>
      <c r="H12" s="2">
        <v>3</v>
      </c>
      <c r="I12" s="4">
        <f>(H12*(1/G12))*0.05*75</f>
        <v>2.209821428571429</v>
      </c>
      <c r="J12" s="4">
        <f>(H55+H46)*(1/G12*H12)</f>
        <v>0</v>
      </c>
      <c r="K12" s="4">
        <f>H12*(1/G12)*1.2</f>
        <v>0.7071428571428572</v>
      </c>
    </row>
    <row r="13" spans="2:11" ht="12.75">
      <c r="B13" s="1" t="s">
        <v>4</v>
      </c>
      <c r="D13" s="4">
        <v>40</v>
      </c>
      <c r="E13" s="4">
        <v>2.5</v>
      </c>
      <c r="F13" s="2">
        <v>65</v>
      </c>
      <c r="G13" s="4">
        <f>(D13*E13*(F13/100))/8.25</f>
        <v>7.878787878787879</v>
      </c>
      <c r="H13" s="2">
        <v>12</v>
      </c>
      <c r="I13" s="4">
        <f>(H13*(1/G13))*0.05*325</f>
        <v>24.75</v>
      </c>
      <c r="J13" s="4">
        <f>(H56+H47)*(1/G13*H13)</f>
        <v>0</v>
      </c>
      <c r="K13" s="4">
        <f>H13*(1/G13)*1.2</f>
        <v>1.8276923076923075</v>
      </c>
    </row>
    <row r="14" spans="2:11" ht="12.75">
      <c r="B14" s="1" t="s">
        <v>59</v>
      </c>
      <c r="D14" s="4">
        <v>15</v>
      </c>
      <c r="E14" s="4">
        <v>6</v>
      </c>
      <c r="F14" s="2">
        <v>95</v>
      </c>
      <c r="G14" s="4">
        <f>(D14*E14*(F14/100))/8.25</f>
        <v>10.363636363636363</v>
      </c>
      <c r="H14" s="2">
        <v>5</v>
      </c>
      <c r="I14" s="4">
        <f>(H14*(1/G14))*0.05*125</f>
        <v>3.0153508771929833</v>
      </c>
      <c r="J14" s="4">
        <f>(H56+H48)*(1/G14*H14)</f>
        <v>0</v>
      </c>
      <c r="K14" s="4">
        <f>H14*(1/G14)*1.2</f>
        <v>0.5789473684210527</v>
      </c>
    </row>
    <row r="16" spans="2:12" ht="13.5" thickBot="1">
      <c r="B16" s="14" t="s">
        <v>236</v>
      </c>
      <c r="D16" s="4"/>
      <c r="F16" s="4"/>
      <c r="G16" s="4"/>
      <c r="H16" s="4"/>
      <c r="I16" s="43">
        <f>SUM(I11:I14)</f>
        <v>29.975172305764413</v>
      </c>
      <c r="J16" s="43">
        <f>SUM(J11:J14)</f>
        <v>0</v>
      </c>
      <c r="K16" s="43">
        <f>SUM(K11:K14)</f>
        <v>3.1137825332562175</v>
      </c>
      <c r="L16" s="49">
        <f>SUM(I16:K16)</f>
        <v>33.08895483902063</v>
      </c>
    </row>
    <row r="17" spans="2:12" ht="13.5" thickTop="1">
      <c r="B17" s="10"/>
      <c r="D17" s="4"/>
      <c r="E17" s="4"/>
      <c r="F17" s="4"/>
      <c r="G17" s="4"/>
      <c r="H17" s="4"/>
      <c r="I17" s="55"/>
      <c r="J17" s="55"/>
      <c r="K17" s="55"/>
      <c r="L17" s="42"/>
    </row>
    <row r="18" spans="2:11" ht="12.75">
      <c r="B18" s="14" t="s">
        <v>138</v>
      </c>
      <c r="D18" s="4"/>
      <c r="E18" s="4"/>
      <c r="F18" s="4"/>
      <c r="G18" s="4"/>
      <c r="H18" s="4"/>
      <c r="I18" s="4"/>
      <c r="J18" s="4"/>
      <c r="K18" s="4"/>
    </row>
    <row r="19" spans="2:11" ht="12.75">
      <c r="B19" s="10" t="s">
        <v>60</v>
      </c>
      <c r="D19" s="2">
        <v>40</v>
      </c>
      <c r="E19" s="4">
        <v>1</v>
      </c>
      <c r="F19" s="2">
        <v>90</v>
      </c>
      <c r="G19" s="4">
        <f>(D19*E19*(F19/100))/8.25</f>
        <v>4.363636363636363</v>
      </c>
      <c r="H19" s="2">
        <v>3</v>
      </c>
      <c r="I19" s="4">
        <f>(H19*(1/G19))*0.05*90</f>
        <v>3.0937500000000004</v>
      </c>
      <c r="J19" s="4">
        <f>(H61+H57)*(1/G19*H19)</f>
        <v>0</v>
      </c>
      <c r="K19" s="4">
        <f>H19*(1/G19)*1.2</f>
        <v>0.825</v>
      </c>
    </row>
    <row r="20" spans="2:11" ht="12.75">
      <c r="B20" s="1" t="s">
        <v>62</v>
      </c>
      <c r="D20" s="3">
        <v>10</v>
      </c>
      <c r="E20" s="4">
        <v>3</v>
      </c>
      <c r="F20" s="3">
        <v>90</v>
      </c>
      <c r="G20" s="4">
        <f>(D20*E20*(F20/100))/8.25</f>
        <v>3.272727272727273</v>
      </c>
      <c r="H20" s="2">
        <v>3</v>
      </c>
      <c r="I20" s="4">
        <f>(H20*(1/G20))*0.05*75</f>
        <v>3.4374999999999996</v>
      </c>
      <c r="J20" s="4">
        <f>(H51+H55)*(1/G20*H20)</f>
        <v>0</v>
      </c>
      <c r="K20" s="4">
        <f>H20*(1/G20)*1.2</f>
        <v>1.0999999999999999</v>
      </c>
    </row>
    <row r="21" spans="2:11" ht="12.75">
      <c r="B21" s="1" t="s">
        <v>53</v>
      </c>
      <c r="D21" s="3">
        <v>10</v>
      </c>
      <c r="E21" s="4">
        <v>2</v>
      </c>
      <c r="F21" s="3">
        <v>80</v>
      </c>
      <c r="G21" s="4">
        <v>7</v>
      </c>
      <c r="H21" s="2">
        <v>3</v>
      </c>
      <c r="I21" s="4">
        <f>(H21*(1/G21))*0.05*125</f>
        <v>2.6785714285714284</v>
      </c>
      <c r="J21" s="4">
        <f>(H52+H56)*(1/G21*H21)</f>
        <v>0</v>
      </c>
      <c r="K21" s="4">
        <f>H21*(1/G21)*1.2</f>
        <v>0.5142857142857142</v>
      </c>
    </row>
    <row r="22" spans="2:11" ht="12.75">
      <c r="B22" s="1" t="s">
        <v>54</v>
      </c>
      <c r="H22" s="2"/>
      <c r="I22" s="4">
        <v>5</v>
      </c>
      <c r="J22" s="4">
        <v>0.5</v>
      </c>
      <c r="K22" s="4">
        <v>1</v>
      </c>
    </row>
    <row r="23" spans="2:12" ht="13.5" thickBot="1">
      <c r="B23" s="14" t="s">
        <v>229</v>
      </c>
      <c r="I23" s="43">
        <f>SUM(I19:I22)</f>
        <v>14.209821428571429</v>
      </c>
      <c r="J23" s="43">
        <f>SUM(J19:J22)</f>
        <v>0.5</v>
      </c>
      <c r="K23" s="43">
        <f>SUM(K19:K22)</f>
        <v>3.439285714285714</v>
      </c>
      <c r="L23" s="49">
        <f>SUM(I23:K23)</f>
        <v>18.149107142857144</v>
      </c>
    </row>
    <row r="24" spans="9:12" ht="13.5" thickTop="1">
      <c r="I24" s="42"/>
      <c r="J24" s="42"/>
      <c r="K24" s="42"/>
      <c r="L24" s="42"/>
    </row>
    <row r="27" ht="12.75"/>
    <row r="28" ht="12.75"/>
    <row r="29" ht="12.75"/>
    <row r="30" ht="12.75"/>
    <row r="36" ht="12.75">
      <c r="A36" s="1" t="s">
        <v>77</v>
      </c>
    </row>
    <row r="43" spans="4:9" ht="12.75">
      <c r="D43" s="4"/>
      <c r="E43" s="4"/>
      <c r="F43" s="4"/>
      <c r="G43" s="4"/>
      <c r="H43" s="4"/>
      <c r="I43" s="4"/>
    </row>
    <row r="44" spans="4:9" ht="12.75">
      <c r="D44" s="4"/>
      <c r="E44" s="4"/>
      <c r="F44" s="4"/>
      <c r="G44" s="4"/>
      <c r="H44" s="4"/>
      <c r="I44" s="4"/>
    </row>
    <row r="45" spans="4:9" ht="12.75">
      <c r="D45" s="4"/>
      <c r="E45" s="7"/>
      <c r="F45" s="2"/>
      <c r="G45" s="4"/>
      <c r="H45" s="4"/>
      <c r="I45" s="4"/>
    </row>
    <row r="46" spans="4:9" ht="12.75">
      <c r="D46" s="4"/>
      <c r="E46" s="7"/>
      <c r="F46" s="2"/>
      <c r="G46" s="4"/>
      <c r="H46" s="4"/>
      <c r="I46" s="4"/>
    </row>
    <row r="47" spans="4:9" ht="12.75">
      <c r="D47" s="4"/>
      <c r="E47" s="2"/>
      <c r="F47" s="2"/>
      <c r="G47" s="4"/>
      <c r="H47" s="4"/>
      <c r="I47" s="4"/>
    </row>
    <row r="48" spans="4:9" ht="12.75">
      <c r="D48" s="4"/>
      <c r="E48" s="2"/>
      <c r="F48" s="2"/>
      <c r="G48" s="4"/>
      <c r="H48" s="4"/>
      <c r="I48" s="4"/>
    </row>
    <row r="49" spans="5:9" ht="12.75">
      <c r="E49" s="7"/>
      <c r="F49" s="2"/>
      <c r="G49" s="3"/>
      <c r="H49" s="4"/>
      <c r="I49" s="4"/>
    </row>
    <row r="50" spans="5:9" ht="12.75">
      <c r="E50" s="7"/>
      <c r="F50" s="3"/>
      <c r="G50" s="3"/>
      <c r="H50" s="4"/>
      <c r="I50" s="4"/>
    </row>
    <row r="51" spans="5:9" ht="12.75">
      <c r="E51" s="7"/>
      <c r="F51" s="3"/>
      <c r="G51" s="3"/>
      <c r="H51" s="4"/>
      <c r="I51" s="4"/>
    </row>
    <row r="52" spans="5:9" ht="12.75">
      <c r="E52" s="7"/>
      <c r="F52" s="3"/>
      <c r="G52" s="3"/>
      <c r="H52" s="4"/>
      <c r="I52" s="4"/>
    </row>
    <row r="53" spans="5:9" ht="12.75">
      <c r="E53" s="7"/>
      <c r="F53" s="3"/>
      <c r="G53" s="3"/>
      <c r="H53" s="4"/>
      <c r="I53" s="4"/>
    </row>
    <row r="54" spans="4:9" ht="12.75">
      <c r="D54" s="4"/>
      <c r="E54" s="2"/>
      <c r="F54" s="2"/>
      <c r="G54" s="4"/>
      <c r="H54" s="4"/>
      <c r="I54" s="4"/>
    </row>
    <row r="55" spans="4:9" ht="12.75">
      <c r="D55" s="4"/>
      <c r="E55" s="2"/>
      <c r="F55" s="2"/>
      <c r="G55" s="4"/>
      <c r="H55" s="4"/>
      <c r="I55" s="4"/>
    </row>
    <row r="56" spans="4:9" ht="12.75">
      <c r="D56" s="4"/>
      <c r="E56" s="2"/>
      <c r="F56" s="2"/>
      <c r="G56" s="4"/>
      <c r="H56" s="4"/>
      <c r="I56" s="4"/>
    </row>
    <row r="57" spans="5:9" ht="12.75">
      <c r="E57" s="2"/>
      <c r="F57" s="3"/>
      <c r="G57" s="4"/>
      <c r="H57" s="4"/>
      <c r="I57" s="4"/>
    </row>
    <row r="58" spans="5:6" ht="12.75">
      <c r="E58" s="7"/>
      <c r="F58" s="3"/>
    </row>
    <row r="59" ht="12.75">
      <c r="F59" s="3"/>
    </row>
  </sheetData>
  <sheetProtection/>
  <printOptions/>
  <pageMargins left="0.75" right="0.75" top="1" bottom="1" header="0.5" footer="0.5"/>
  <pageSetup orientation="portrait" paperSize="9"/>
  <rowBreaks count="1" manualBreakCount="1">
    <brk id="3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2:K46"/>
  <sheetViews>
    <sheetView zoomScalePageLayoutView="0" workbookViewId="0" topLeftCell="A1">
      <selection activeCell="M45" sqref="M45"/>
    </sheetView>
  </sheetViews>
  <sheetFormatPr defaultColWidth="9.140625" defaultRowHeight="12.75"/>
  <cols>
    <col min="1" max="1" width="1.421875" style="1" customWidth="1"/>
    <col min="2" max="2" width="13.421875" style="1" customWidth="1"/>
    <col min="3" max="3" width="12.7109375" style="1" customWidth="1"/>
    <col min="4" max="4" width="6.7109375" style="1" customWidth="1"/>
    <col min="5" max="5" width="10.7109375" style="1" customWidth="1"/>
    <col min="6" max="6" width="9.140625" style="1" customWidth="1"/>
    <col min="7" max="7" width="4.8515625" style="1" customWidth="1"/>
    <col min="8" max="8" width="9.140625" style="1" customWidth="1"/>
    <col min="9" max="9" width="8.28125" style="1" customWidth="1"/>
    <col min="10" max="10" width="7.8515625" style="1" customWidth="1"/>
    <col min="11" max="11" width="6.8515625" style="10" customWidth="1"/>
    <col min="12" max="16384" width="9.140625" style="1" customWidth="1"/>
  </cols>
  <sheetData>
    <row r="2" ht="12.75">
      <c r="B2" s="61" t="s">
        <v>303</v>
      </c>
    </row>
    <row r="4" spans="2:11" ht="15.75">
      <c r="B4" s="152" t="s">
        <v>311</v>
      </c>
      <c r="C4" s="149"/>
      <c r="D4" s="149"/>
      <c r="E4" s="149"/>
      <c r="F4" s="149"/>
      <c r="G4" s="149"/>
      <c r="H4" s="149"/>
      <c r="I4" s="149"/>
      <c r="J4" s="149"/>
      <c r="K4" s="149"/>
    </row>
    <row r="6" spans="2:5" ht="12.75">
      <c r="B6" s="1" t="s">
        <v>88</v>
      </c>
      <c r="C6" s="7">
        <v>50</v>
      </c>
      <c r="D6" s="24" t="s">
        <v>185</v>
      </c>
      <c r="E6" s="7" t="s">
        <v>0</v>
      </c>
    </row>
    <row r="7" spans="2:5" ht="12.75">
      <c r="B7" s="1" t="s">
        <v>150</v>
      </c>
      <c r="C7" s="19">
        <v>0.065</v>
      </c>
      <c r="D7" s="24" t="s">
        <v>245</v>
      </c>
      <c r="E7" s="7" t="s">
        <v>0</v>
      </c>
    </row>
    <row r="8" spans="4:11" ht="12.75">
      <c r="D8" s="24" t="s">
        <v>132</v>
      </c>
      <c r="E8" s="41" t="s">
        <v>196</v>
      </c>
      <c r="F8" s="24" t="s">
        <v>208</v>
      </c>
      <c r="G8" s="35" t="s">
        <v>254</v>
      </c>
      <c r="H8" s="11"/>
      <c r="I8" s="11"/>
      <c r="J8" s="11"/>
      <c r="K8" s="20"/>
    </row>
    <row r="9" spans="2:11" ht="12.75">
      <c r="B9" s="24" t="s">
        <v>55</v>
      </c>
      <c r="C9" s="23"/>
      <c r="D9" s="24" t="s">
        <v>110</v>
      </c>
      <c r="E9" s="41" t="s">
        <v>193</v>
      </c>
      <c r="F9" s="24" t="s">
        <v>246</v>
      </c>
      <c r="G9" s="35" t="s">
        <v>165</v>
      </c>
      <c r="H9" s="35" t="s">
        <v>111</v>
      </c>
      <c r="I9" s="24" t="s">
        <v>149</v>
      </c>
      <c r="J9" s="35" t="s">
        <v>213</v>
      </c>
      <c r="K9" s="35" t="s">
        <v>124</v>
      </c>
    </row>
    <row r="10" spans="5:11" ht="12.75">
      <c r="E10" s="11"/>
      <c r="F10" s="11"/>
      <c r="G10" s="11"/>
      <c r="H10" s="11"/>
      <c r="I10" s="11"/>
      <c r="J10" s="11"/>
      <c r="K10" s="20"/>
    </row>
    <row r="11" spans="2:11" ht="12.75">
      <c r="B11" s="25" t="s">
        <v>286</v>
      </c>
      <c r="C11" s="27"/>
      <c r="D11" s="30">
        <v>1</v>
      </c>
      <c r="E11" s="34">
        <v>300</v>
      </c>
      <c r="F11" s="34">
        <f>E11*0.2</f>
        <v>60</v>
      </c>
      <c r="G11" s="34">
        <v>10</v>
      </c>
      <c r="H11" s="34">
        <f aca="true" t="shared" si="0" ref="H11:H21">(E11-F11)/G11*D11</f>
        <v>24</v>
      </c>
      <c r="I11" s="34">
        <f aca="true" t="shared" si="1" ref="I11:I21">(E11+F11)/2*C$7*D11</f>
        <v>11.700000000000001</v>
      </c>
      <c r="J11" s="34">
        <f aca="true" t="shared" si="2" ref="J11:J21">(E11+F11)/2*0.014*D11</f>
        <v>2.52</v>
      </c>
      <c r="K11" s="33">
        <f aca="true" t="shared" si="3" ref="K11:K21">(H11+I11+J11)/$C$6</f>
        <v>0.7644000000000001</v>
      </c>
    </row>
    <row r="12" spans="2:11" ht="12.75">
      <c r="B12" s="25" t="s">
        <v>285</v>
      </c>
      <c r="C12" s="27"/>
      <c r="D12" s="30">
        <v>1</v>
      </c>
      <c r="E12" s="34">
        <v>15000</v>
      </c>
      <c r="F12" s="34">
        <f>E12*0.2</f>
        <v>3000</v>
      </c>
      <c r="G12" s="34">
        <v>10</v>
      </c>
      <c r="H12" s="34">
        <f t="shared" si="0"/>
        <v>1200</v>
      </c>
      <c r="I12" s="34">
        <f t="shared" si="1"/>
        <v>585</v>
      </c>
      <c r="J12" s="34">
        <f t="shared" si="2"/>
        <v>126</v>
      </c>
      <c r="K12" s="33">
        <f t="shared" si="3"/>
        <v>38.22</v>
      </c>
    </row>
    <row r="13" spans="2:11" ht="12.75">
      <c r="B13" s="25" t="s">
        <v>283</v>
      </c>
      <c r="C13" s="27"/>
      <c r="D13" s="30">
        <v>1</v>
      </c>
      <c r="E13" s="34">
        <v>4000</v>
      </c>
      <c r="F13" s="34">
        <f>E13*0.2</f>
        <v>800</v>
      </c>
      <c r="G13" s="34">
        <v>10</v>
      </c>
      <c r="H13" s="34">
        <f t="shared" si="0"/>
        <v>320</v>
      </c>
      <c r="I13" s="34">
        <f t="shared" si="1"/>
        <v>156</v>
      </c>
      <c r="J13" s="34">
        <f t="shared" si="2"/>
        <v>33.6</v>
      </c>
      <c r="K13" s="33">
        <f t="shared" si="3"/>
        <v>10.192</v>
      </c>
    </row>
    <row r="14" spans="2:11" ht="12.75">
      <c r="B14" s="25" t="s">
        <v>115</v>
      </c>
      <c r="C14" s="27"/>
      <c r="D14" s="30">
        <v>1</v>
      </c>
      <c r="E14" s="34">
        <v>2000</v>
      </c>
      <c r="F14" s="34">
        <f>E14*0.2</f>
        <v>400</v>
      </c>
      <c r="G14" s="34">
        <v>10</v>
      </c>
      <c r="H14" s="34">
        <f t="shared" si="0"/>
        <v>160</v>
      </c>
      <c r="I14" s="34">
        <f t="shared" si="1"/>
        <v>78</v>
      </c>
      <c r="J14" s="34">
        <f t="shared" si="2"/>
        <v>16.8</v>
      </c>
      <c r="K14" s="33">
        <f t="shared" si="3"/>
        <v>5.096</v>
      </c>
    </row>
    <row r="15" spans="2:11" ht="12.75">
      <c r="B15" s="26" t="s">
        <v>284</v>
      </c>
      <c r="C15" s="31"/>
      <c r="D15" s="30">
        <v>1</v>
      </c>
      <c r="E15" s="34">
        <v>24000</v>
      </c>
      <c r="F15" s="34">
        <f aca="true" t="shared" si="4" ref="F15:F21">E15*0.2</f>
        <v>4800</v>
      </c>
      <c r="G15" s="34">
        <v>20</v>
      </c>
      <c r="H15" s="34">
        <f t="shared" si="0"/>
        <v>960</v>
      </c>
      <c r="I15" s="34">
        <f t="shared" si="1"/>
        <v>936</v>
      </c>
      <c r="J15" s="34">
        <f t="shared" si="2"/>
        <v>201.6</v>
      </c>
      <c r="K15" s="33">
        <f t="shared" si="3"/>
        <v>41.952</v>
      </c>
    </row>
    <row r="16" spans="2:11" ht="12.75">
      <c r="B16" s="26" t="s">
        <v>294</v>
      </c>
      <c r="C16" s="31"/>
      <c r="D16" s="30">
        <v>1</v>
      </c>
      <c r="E16" s="34">
        <v>24000</v>
      </c>
      <c r="F16" s="34">
        <f t="shared" si="4"/>
        <v>4800</v>
      </c>
      <c r="G16" s="34">
        <v>10</v>
      </c>
      <c r="H16" s="34">
        <f t="shared" si="0"/>
        <v>1920</v>
      </c>
      <c r="I16" s="34">
        <f t="shared" si="1"/>
        <v>936</v>
      </c>
      <c r="J16" s="34">
        <f t="shared" si="2"/>
        <v>201.6</v>
      </c>
      <c r="K16" s="33">
        <f t="shared" si="3"/>
        <v>61.152</v>
      </c>
    </row>
    <row r="17" spans="2:11" ht="12.75">
      <c r="B17" s="26" t="s">
        <v>282</v>
      </c>
      <c r="C17" s="31"/>
      <c r="D17" s="30">
        <v>1</v>
      </c>
      <c r="E17" s="34">
        <v>4000</v>
      </c>
      <c r="F17" s="34">
        <f t="shared" si="4"/>
        <v>800</v>
      </c>
      <c r="G17" s="34">
        <v>10</v>
      </c>
      <c r="H17" s="34">
        <f t="shared" si="0"/>
        <v>320</v>
      </c>
      <c r="I17" s="34">
        <f t="shared" si="1"/>
        <v>156</v>
      </c>
      <c r="J17" s="34">
        <f t="shared" si="2"/>
        <v>33.6</v>
      </c>
      <c r="K17" s="33">
        <f t="shared" si="3"/>
        <v>10.192</v>
      </c>
    </row>
    <row r="18" spans="2:11" ht="12.75">
      <c r="B18" s="26" t="s">
        <v>280</v>
      </c>
      <c r="C18" s="31"/>
      <c r="D18" s="30">
        <v>1</v>
      </c>
      <c r="E18" s="37">
        <v>4000</v>
      </c>
      <c r="F18" s="34">
        <f t="shared" si="4"/>
        <v>800</v>
      </c>
      <c r="G18" s="32">
        <v>10</v>
      </c>
      <c r="H18" s="34">
        <f t="shared" si="0"/>
        <v>320</v>
      </c>
      <c r="I18" s="34">
        <f t="shared" si="1"/>
        <v>156</v>
      </c>
      <c r="J18" s="34">
        <f t="shared" si="2"/>
        <v>33.6</v>
      </c>
      <c r="K18" s="33">
        <f t="shared" si="3"/>
        <v>10.192</v>
      </c>
    </row>
    <row r="19" spans="2:11" ht="12.75">
      <c r="B19" s="26" t="s">
        <v>281</v>
      </c>
      <c r="C19" s="31"/>
      <c r="D19" s="30">
        <v>1</v>
      </c>
      <c r="E19" s="37">
        <v>8000</v>
      </c>
      <c r="F19" s="34">
        <f t="shared" si="4"/>
        <v>1600</v>
      </c>
      <c r="G19" s="32">
        <v>10</v>
      </c>
      <c r="H19" s="34">
        <f t="shared" si="0"/>
        <v>640</v>
      </c>
      <c r="I19" s="34">
        <f t="shared" si="1"/>
        <v>312</v>
      </c>
      <c r="J19" s="34">
        <f t="shared" si="2"/>
        <v>67.2</v>
      </c>
      <c r="K19" s="33">
        <f t="shared" si="3"/>
        <v>20.384</v>
      </c>
    </row>
    <row r="20" spans="2:11" ht="12.75">
      <c r="B20" s="31" t="s">
        <v>288</v>
      </c>
      <c r="C20" s="10"/>
      <c r="D20" s="13">
        <v>1</v>
      </c>
      <c r="E20" s="38">
        <v>2000</v>
      </c>
      <c r="F20" s="38">
        <f t="shared" si="4"/>
        <v>400</v>
      </c>
      <c r="G20" s="39">
        <v>10</v>
      </c>
      <c r="H20" s="39">
        <f t="shared" si="0"/>
        <v>160</v>
      </c>
      <c r="I20" s="39">
        <f t="shared" si="1"/>
        <v>78</v>
      </c>
      <c r="J20" s="39">
        <f t="shared" si="2"/>
        <v>16.8</v>
      </c>
      <c r="K20" s="39">
        <f t="shared" si="3"/>
        <v>5.096</v>
      </c>
    </row>
    <row r="21" spans="2:11" ht="12.75">
      <c r="B21" s="31" t="s">
        <v>287</v>
      </c>
      <c r="C21" s="10"/>
      <c r="D21" s="13">
        <v>1</v>
      </c>
      <c r="E21" s="38">
        <v>300</v>
      </c>
      <c r="F21" s="38">
        <f t="shared" si="4"/>
        <v>60</v>
      </c>
      <c r="G21" s="39">
        <v>10</v>
      </c>
      <c r="H21" s="39">
        <f t="shared" si="0"/>
        <v>24</v>
      </c>
      <c r="I21" s="39">
        <f t="shared" si="1"/>
        <v>11.700000000000001</v>
      </c>
      <c r="J21" s="39">
        <f t="shared" si="2"/>
        <v>2.52</v>
      </c>
      <c r="K21" s="39">
        <f t="shared" si="3"/>
        <v>0.7644000000000001</v>
      </c>
    </row>
    <row r="22" spans="2:11" ht="12.75">
      <c r="B22" s="31" t="s">
        <v>289</v>
      </c>
      <c r="C22" s="10"/>
      <c r="D22" s="13">
        <v>1</v>
      </c>
      <c r="E22" s="38">
        <v>250</v>
      </c>
      <c r="F22" s="38">
        <f>E22*0.2</f>
        <v>50</v>
      </c>
      <c r="G22" s="39">
        <v>10</v>
      </c>
      <c r="H22" s="39">
        <f>(E22-F22)/G22*D22</f>
        <v>20</v>
      </c>
      <c r="I22" s="39">
        <f>(E22+F22)/2*C$7*D22</f>
        <v>9.75</v>
      </c>
      <c r="J22" s="39">
        <f>(E22+F22)/2*0.014*D22</f>
        <v>2.1</v>
      </c>
      <c r="K22" s="39">
        <f>(H22+I22+J22)/$C$6</f>
        <v>0.637</v>
      </c>
    </row>
    <row r="23" spans="2:11" ht="12.75">
      <c r="B23" s="31" t="s">
        <v>290</v>
      </c>
      <c r="C23" s="10"/>
      <c r="D23" s="13">
        <v>1</v>
      </c>
      <c r="E23" s="38">
        <v>900</v>
      </c>
      <c r="F23" s="38">
        <f>E23*0.2</f>
        <v>180</v>
      </c>
      <c r="G23" s="39">
        <v>10</v>
      </c>
      <c r="H23" s="39">
        <f>(E23-F23)/G23*D23</f>
        <v>72</v>
      </c>
      <c r="I23" s="39">
        <f>(E23+F23)/2*C$7*D23</f>
        <v>35.1</v>
      </c>
      <c r="J23" s="39">
        <f>(E23+F23)/2*0.014*D23</f>
        <v>7.5600000000000005</v>
      </c>
      <c r="K23" s="39">
        <f>(H23+I23+J23)/$C$6</f>
        <v>2.2932</v>
      </c>
    </row>
    <row r="24" spans="2:11" ht="12.75">
      <c r="B24" s="31" t="s">
        <v>291</v>
      </c>
      <c r="C24" s="10"/>
      <c r="D24" s="13">
        <v>1</v>
      </c>
      <c r="E24" s="38">
        <v>250</v>
      </c>
      <c r="F24" s="38">
        <f>E24*0.2</f>
        <v>50</v>
      </c>
      <c r="G24" s="39">
        <v>10</v>
      </c>
      <c r="H24" s="39">
        <f>(E24-F24)/G24*D24</f>
        <v>20</v>
      </c>
      <c r="I24" s="39">
        <f>(E24+F24)/2*C$7*D24</f>
        <v>9.75</v>
      </c>
      <c r="J24" s="39">
        <f>(E24+F24)/2*0.014*D24</f>
        <v>2.1</v>
      </c>
      <c r="K24" s="39">
        <f>(H24+I24+J24)/$C$6</f>
        <v>0.637</v>
      </c>
    </row>
    <row r="25" spans="2:11" ht="12.75">
      <c r="B25" s="31" t="s">
        <v>292</v>
      </c>
      <c r="C25" s="10"/>
      <c r="D25" s="13">
        <v>1</v>
      </c>
      <c r="E25" s="38">
        <v>299</v>
      </c>
      <c r="F25" s="38">
        <f>E25*0.2</f>
        <v>59.800000000000004</v>
      </c>
      <c r="G25" s="39">
        <v>10</v>
      </c>
      <c r="H25" s="39">
        <f>(E25-F25)/G25*D25</f>
        <v>23.919999999999998</v>
      </c>
      <c r="I25" s="39">
        <f>(E25+F25)/2*C$7*D25</f>
        <v>11.661000000000001</v>
      </c>
      <c r="J25" s="39">
        <f>(E25+F25)/2*0.014*D25</f>
        <v>2.5116</v>
      </c>
      <c r="K25" s="39">
        <f>(H25+I25+J25)/$C$6</f>
        <v>0.7618520000000001</v>
      </c>
    </row>
    <row r="26" spans="2:11" ht="12.75">
      <c r="B26" s="31" t="s">
        <v>293</v>
      </c>
      <c r="C26" s="10"/>
      <c r="D26" s="13">
        <v>1</v>
      </c>
      <c r="E26" s="38">
        <v>1000</v>
      </c>
      <c r="F26" s="38">
        <f>E26*0.2</f>
        <v>200</v>
      </c>
      <c r="G26" s="39">
        <v>10</v>
      </c>
      <c r="H26" s="39">
        <f>(E26-F26)/G26*D26</f>
        <v>80</v>
      </c>
      <c r="I26" s="39">
        <f>(E26+F26)/2*C$7*D26</f>
        <v>39</v>
      </c>
      <c r="J26" s="39">
        <f>(E26+F26)/2*0.014*D26</f>
        <v>8.4</v>
      </c>
      <c r="K26" s="39">
        <f>(H26+I26+J26)/$C$6</f>
        <v>2.548</v>
      </c>
    </row>
    <row r="27" spans="2:11" ht="12.75">
      <c r="B27" s="10"/>
      <c r="C27" s="10"/>
      <c r="D27" s="3"/>
      <c r="E27" s="38"/>
      <c r="F27" s="38"/>
      <c r="G27" s="39"/>
      <c r="H27" s="39"/>
      <c r="I27" s="39"/>
      <c r="J27" s="39"/>
      <c r="K27" s="39"/>
    </row>
    <row r="28" spans="2:11" ht="13.5" thickBot="1">
      <c r="B28" s="14" t="s">
        <v>231</v>
      </c>
      <c r="D28" s="3"/>
      <c r="E28" s="56">
        <f>SUM(E11:E27)</f>
        <v>90299</v>
      </c>
      <c r="F28" s="57">
        <f>SUM(F11:F27)</f>
        <v>18059.8</v>
      </c>
      <c r="G28" s="57"/>
      <c r="H28" s="58">
        <f>SUM(H11:H27)</f>
        <v>6263.92</v>
      </c>
      <c r="I28" s="58">
        <f>SUM(I11:I27)</f>
        <v>3521.6609999999996</v>
      </c>
      <c r="J28" s="58">
        <f>SUM(J11:J27)</f>
        <v>758.5116</v>
      </c>
      <c r="K28" s="58">
        <f>SUM(K11:K27)</f>
        <v>210.88185200000004</v>
      </c>
    </row>
    <row r="29" spans="4:11" ht="13.5" thickTop="1">
      <c r="D29" s="3"/>
      <c r="E29" s="45"/>
      <c r="F29" s="45"/>
      <c r="G29" s="45"/>
      <c r="H29" s="45"/>
      <c r="I29" s="45"/>
      <c r="J29" s="45"/>
      <c r="K29" s="55"/>
    </row>
    <row r="30" spans="4:11" ht="12.75">
      <c r="D30" s="3"/>
      <c r="E30" s="3"/>
      <c r="F30" s="3"/>
      <c r="G30" s="3"/>
      <c r="H30" s="3"/>
      <c r="I30" s="2">
        <f>H28</f>
        <v>6263.92</v>
      </c>
      <c r="J30" s="3"/>
      <c r="K30" s="4"/>
    </row>
    <row r="31" spans="4:11" ht="12.75">
      <c r="D31" s="3"/>
      <c r="E31" s="3"/>
      <c r="F31" s="3"/>
      <c r="G31" s="3"/>
      <c r="H31" s="3"/>
      <c r="I31" s="2">
        <f>I28</f>
        <v>3521.6609999999996</v>
      </c>
      <c r="J31" s="3"/>
      <c r="K31" s="4"/>
    </row>
    <row r="32" spans="4:11" ht="12.75">
      <c r="D32" s="3"/>
      <c r="E32" s="3"/>
      <c r="F32" s="3"/>
      <c r="G32" s="3"/>
      <c r="H32" s="3"/>
      <c r="I32" s="2">
        <f>J28</f>
        <v>758.5116</v>
      </c>
      <c r="J32" s="3"/>
      <c r="K32" s="4"/>
    </row>
    <row r="33" spans="4:11" ht="12.75">
      <c r="D33" s="3"/>
      <c r="E33" s="3"/>
      <c r="F33" s="3"/>
      <c r="G33" s="3"/>
      <c r="H33" s="3"/>
      <c r="I33" s="2"/>
      <c r="J33" s="3"/>
      <c r="K33" s="4"/>
    </row>
    <row r="34" spans="2:11" ht="12.75">
      <c r="B34" s="14" t="s">
        <v>228</v>
      </c>
      <c r="D34" s="3"/>
      <c r="E34" s="3"/>
      <c r="F34" s="3"/>
      <c r="G34" s="3"/>
      <c r="H34" s="3"/>
      <c r="I34" s="5">
        <f>SUM(I30:I33)</f>
        <v>10544.0926</v>
      </c>
      <c r="J34" s="3"/>
      <c r="K34" s="4"/>
    </row>
    <row r="35" spans="2:11" ht="13.5" thickBot="1">
      <c r="B35" s="14" t="s">
        <v>129</v>
      </c>
      <c r="D35" s="3"/>
      <c r="E35" s="3"/>
      <c r="F35" s="3"/>
      <c r="G35" s="3"/>
      <c r="H35" s="3"/>
      <c r="I35" s="59">
        <f>I34/C6</f>
        <v>210.881852</v>
      </c>
      <c r="J35" s="3"/>
      <c r="K35" s="4"/>
    </row>
    <row r="36" spans="4:11" ht="13.5" thickTop="1">
      <c r="D36" s="3"/>
      <c r="E36" s="3"/>
      <c r="F36" s="3"/>
      <c r="G36" s="3"/>
      <c r="H36" s="3"/>
      <c r="I36" s="45"/>
      <c r="J36" s="3"/>
      <c r="K36" s="4"/>
    </row>
    <row r="37" spans="4:11" ht="12.75">
      <c r="D37" s="3"/>
      <c r="E37" s="3"/>
      <c r="F37" s="3"/>
      <c r="G37" s="3"/>
      <c r="H37" s="3"/>
      <c r="I37" s="3"/>
      <c r="J37" s="3"/>
      <c r="K37" s="4"/>
    </row>
    <row r="38" spans="2:11" ht="12.75">
      <c r="B38" s="1" t="s">
        <v>72</v>
      </c>
      <c r="D38" s="3"/>
      <c r="E38" s="3"/>
      <c r="F38" s="3"/>
      <c r="G38" s="3"/>
      <c r="H38" s="3"/>
      <c r="I38" s="3"/>
      <c r="J38" s="3"/>
      <c r="K38" s="4"/>
    </row>
    <row r="39" spans="2:11" ht="12.75">
      <c r="B39" s="1" t="s">
        <v>74</v>
      </c>
      <c r="D39" s="3"/>
      <c r="E39" s="3"/>
      <c r="F39" s="3"/>
      <c r="G39" s="3"/>
      <c r="H39" s="3"/>
      <c r="I39" s="3"/>
      <c r="J39" s="3"/>
      <c r="K39" s="4"/>
    </row>
    <row r="40" spans="1:11" ht="12.75">
      <c r="A40" s="1" t="s">
        <v>77</v>
      </c>
      <c r="D40" s="3"/>
      <c r="E40" s="3"/>
      <c r="F40" s="3"/>
      <c r="G40" s="3"/>
      <c r="H40" s="3"/>
      <c r="I40" s="3"/>
      <c r="J40" s="3"/>
      <c r="K40" s="4"/>
    </row>
    <row r="41" spans="4:11" ht="12.75">
      <c r="D41" s="3"/>
      <c r="E41" s="3"/>
      <c r="F41" s="3"/>
      <c r="G41" s="3"/>
      <c r="H41" s="3"/>
      <c r="I41" s="3"/>
      <c r="J41" s="3"/>
      <c r="K41" s="4"/>
    </row>
    <row r="42" spans="4:11" ht="12.75">
      <c r="D42" s="3"/>
      <c r="E42" s="3"/>
      <c r="F42" s="3"/>
      <c r="G42" s="3"/>
      <c r="H42" s="3"/>
      <c r="I42" s="3"/>
      <c r="J42" s="3"/>
      <c r="K42" s="4"/>
    </row>
    <row r="43" spans="4:11" ht="12.75">
      <c r="D43" s="3"/>
      <c r="E43" s="3"/>
      <c r="F43" s="3"/>
      <c r="G43" s="3"/>
      <c r="H43" s="3"/>
      <c r="I43" s="3"/>
      <c r="J43" s="3"/>
      <c r="K43" s="4"/>
    </row>
    <row r="44" spans="4:11" ht="12.75">
      <c r="D44" s="3"/>
      <c r="E44" s="3"/>
      <c r="F44" s="3"/>
      <c r="G44" s="3"/>
      <c r="H44" s="3"/>
      <c r="I44" s="3"/>
      <c r="J44" s="3"/>
      <c r="K44" s="4"/>
    </row>
    <row r="45" spans="4:11" ht="12.75">
      <c r="D45" s="3"/>
      <c r="E45" s="3"/>
      <c r="F45" s="3"/>
      <c r="G45" s="3"/>
      <c r="H45" s="3"/>
      <c r="I45" s="3"/>
      <c r="J45" s="3"/>
      <c r="K45" s="4"/>
    </row>
    <row r="46" spans="4:11" ht="12.75">
      <c r="D46" s="3"/>
      <c r="E46" s="3"/>
      <c r="F46" s="3"/>
      <c r="G46" s="3"/>
      <c r="H46" s="3"/>
      <c r="I46" s="3"/>
      <c r="J46" s="3"/>
      <c r="K46" s="4"/>
    </row>
  </sheetData>
  <sheetProtection/>
  <mergeCells count="1">
    <mergeCell ref="B4:K4"/>
  </mergeCells>
  <printOptions/>
  <pageMargins left="0.75" right="0.75" top="1" bottom="1" header="0.5" footer="0.5"/>
  <pageSetup horizontalDpi="600" verticalDpi="600" orientation="portrait" r:id="rId2"/>
  <rowBreaks count="1" manualBreakCount="1">
    <brk id="4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2:I56"/>
  <sheetViews>
    <sheetView zoomScalePageLayoutView="0" workbookViewId="0" topLeftCell="A1">
      <selection activeCell="G63" sqref="G63"/>
    </sheetView>
  </sheetViews>
  <sheetFormatPr defaultColWidth="9.140625" defaultRowHeight="12.75"/>
  <cols>
    <col min="1" max="1" width="1.8515625" style="1" customWidth="1"/>
    <col min="2" max="4" width="9.140625" style="1" customWidth="1"/>
    <col min="5" max="5" width="10.28125" style="1" customWidth="1"/>
    <col min="6" max="7" width="9.140625" style="1" customWidth="1"/>
    <col min="8" max="8" width="9.28125" style="1" customWidth="1"/>
    <col min="9" max="9" width="9.8515625" style="1" customWidth="1"/>
    <col min="10" max="10" width="6.00390625" style="1" customWidth="1"/>
    <col min="11" max="16384" width="9.140625" style="1" customWidth="1"/>
  </cols>
  <sheetData>
    <row r="2" ht="12.75">
      <c r="B2" s="61" t="s">
        <v>303</v>
      </c>
    </row>
    <row r="3" ht="12.75">
      <c r="A3" s="10"/>
    </row>
    <row r="4" spans="1:8" ht="15.75">
      <c r="A4" s="10"/>
      <c r="C4" s="150" t="s">
        <v>114</v>
      </c>
      <c r="D4" s="153"/>
      <c r="E4" s="153"/>
      <c r="F4" s="153"/>
      <c r="G4" s="153"/>
      <c r="H4" s="153"/>
    </row>
    <row r="5" ht="12.75">
      <c r="A5" s="10"/>
    </row>
    <row r="6" spans="1:8" ht="12.75">
      <c r="A6" s="10"/>
      <c r="C6" s="148"/>
      <c r="D6" s="153"/>
      <c r="E6" s="153"/>
      <c r="F6" s="153"/>
      <c r="G6" s="153"/>
      <c r="H6" s="153"/>
    </row>
    <row r="7" spans="1:8" ht="12.75">
      <c r="A7" s="10"/>
      <c r="C7" s="148"/>
      <c r="D7" s="153"/>
      <c r="E7" s="153"/>
      <c r="F7" s="153"/>
      <c r="G7" s="153"/>
      <c r="H7" s="153"/>
    </row>
    <row r="8" ht="12.75">
      <c r="A8" s="10"/>
    </row>
    <row r="9" spans="1:8" ht="12.75">
      <c r="A9" s="10"/>
      <c r="C9" s="148">
        <v>2019</v>
      </c>
      <c r="D9" s="153"/>
      <c r="E9" s="153"/>
      <c r="F9" s="153"/>
      <c r="G9" s="153"/>
      <c r="H9" s="153"/>
    </row>
    <row r="10" ht="12.75">
      <c r="A10" s="10"/>
    </row>
    <row r="11" spans="1:7" ht="12.75">
      <c r="A11" s="10"/>
      <c r="B11" s="1" t="s">
        <v>99</v>
      </c>
      <c r="F11" s="15">
        <v>50</v>
      </c>
      <c r="G11" s="10" t="s">
        <v>89</v>
      </c>
    </row>
    <row r="12" spans="1:6" ht="12.75">
      <c r="A12" s="10"/>
      <c r="B12" s="1" t="s">
        <v>209</v>
      </c>
      <c r="D12" s="9">
        <v>40</v>
      </c>
      <c r="E12" s="1" t="s">
        <v>103</v>
      </c>
      <c r="F12" s="9">
        <v>40</v>
      </c>
    </row>
    <row r="13" spans="1:7" ht="12.75">
      <c r="A13" s="10"/>
      <c r="B13" s="1" t="s">
        <v>152</v>
      </c>
      <c r="G13" s="21">
        <v>0.065</v>
      </c>
    </row>
    <row r="14" spans="1:7" ht="12.75">
      <c r="A14" s="10"/>
      <c r="B14" s="1" t="s">
        <v>214</v>
      </c>
      <c r="G14" s="1">
        <v>0.015</v>
      </c>
    </row>
    <row r="15" spans="1:7" ht="12.75">
      <c r="A15" s="10"/>
      <c r="B15" s="1" t="s">
        <v>113</v>
      </c>
      <c r="G15" s="1">
        <v>120</v>
      </c>
    </row>
    <row r="16" ht="12.75">
      <c r="A16" s="10"/>
    </row>
    <row r="17" ht="12.75">
      <c r="A17" s="10"/>
    </row>
    <row r="18" spans="1:2" ht="12.75">
      <c r="A18" s="10"/>
      <c r="B18" s="9" t="s">
        <v>155</v>
      </c>
    </row>
    <row r="19" ht="12.75">
      <c r="A19" s="10"/>
    </row>
    <row r="20" spans="1:9" ht="12.75">
      <c r="A20" s="10"/>
      <c r="E20" s="40" t="s">
        <v>175</v>
      </c>
      <c r="F20" s="40" t="s">
        <v>255</v>
      </c>
      <c r="G20" s="40" t="s">
        <v>112</v>
      </c>
      <c r="H20" s="24" t="s">
        <v>151</v>
      </c>
      <c r="I20" s="24" t="s">
        <v>212</v>
      </c>
    </row>
    <row r="21" spans="1:9" ht="12.75">
      <c r="A21" s="10"/>
      <c r="B21" s="1" t="s">
        <v>188</v>
      </c>
      <c r="E21" s="2">
        <v>10300</v>
      </c>
      <c r="F21" s="2">
        <v>20</v>
      </c>
      <c r="G21" s="2">
        <f aca="true" t="shared" si="0" ref="G21:G27">E21/F21</f>
        <v>515</v>
      </c>
      <c r="H21" s="2">
        <f>(E21/2)*G13</f>
        <v>334.75</v>
      </c>
      <c r="I21" s="2">
        <f>(E21/2)*G14</f>
        <v>77.25</v>
      </c>
    </row>
    <row r="22" spans="1:9" ht="12.75">
      <c r="A22" s="10"/>
      <c r="B22" s="1" t="s">
        <v>262</v>
      </c>
      <c r="E22" s="2">
        <f>95*F11</f>
        <v>4750</v>
      </c>
      <c r="F22" s="2">
        <v>10</v>
      </c>
      <c r="G22" s="2">
        <f t="shared" si="0"/>
        <v>475</v>
      </c>
      <c r="H22" s="2">
        <f>(E22/2)*G13</f>
        <v>154.375</v>
      </c>
      <c r="I22" s="2">
        <f>(E22/2)*G14</f>
        <v>35.625</v>
      </c>
    </row>
    <row r="23" spans="1:9" ht="12.75">
      <c r="A23" s="10"/>
      <c r="B23" s="1" t="s">
        <v>263</v>
      </c>
      <c r="E23" s="2">
        <f>IF(F11*2&lt;40,4*3*G15,IF(F11*2&lt;175,6*3*G15,IF(F11*2&lt;=600,8*3*G15,12*3*G15)))</f>
        <v>2160</v>
      </c>
      <c r="F23" s="2">
        <v>25</v>
      </c>
      <c r="G23" s="2">
        <f t="shared" si="0"/>
        <v>86.4</v>
      </c>
      <c r="H23" s="2">
        <f>(E23/2)*G13</f>
        <v>70.2</v>
      </c>
      <c r="I23" s="2">
        <f>(E23/2)*G14</f>
        <v>16.2</v>
      </c>
    </row>
    <row r="24" spans="1:9" ht="12.75">
      <c r="A24" s="10"/>
      <c r="B24" s="1" t="s">
        <v>264</v>
      </c>
      <c r="E24" s="2">
        <f>IF(G37=10,1800,IF(G37=20,3500,IF(G37=40,6000,11000)))</f>
        <v>11000</v>
      </c>
      <c r="F24" s="2">
        <v>15</v>
      </c>
      <c r="G24" s="2">
        <f t="shared" si="0"/>
        <v>733.3333333333334</v>
      </c>
      <c r="H24" s="2">
        <f>(E24/2)*G13</f>
        <v>357.5</v>
      </c>
      <c r="I24" s="2">
        <f>(E24/2)*G14</f>
        <v>82.5</v>
      </c>
    </row>
    <row r="25" spans="1:9" ht="12.75">
      <c r="A25" s="10"/>
      <c r="B25" s="1" t="s">
        <v>265</v>
      </c>
      <c r="E25" s="2">
        <f>26*F11</f>
        <v>1300</v>
      </c>
      <c r="F25" s="2">
        <v>10</v>
      </c>
      <c r="G25" s="2">
        <f t="shared" si="0"/>
        <v>130</v>
      </c>
      <c r="H25" s="2">
        <f>(E25/2)*G13</f>
        <v>42.25</v>
      </c>
      <c r="I25" s="2">
        <f>(E25/2)*G14</f>
        <v>9.75</v>
      </c>
    </row>
    <row r="26" spans="1:9" ht="12.75">
      <c r="A26" s="10"/>
      <c r="B26" s="1" t="s">
        <v>266</v>
      </c>
      <c r="E26" s="2">
        <f>SUM(E21:E25)*0.03</f>
        <v>885.3</v>
      </c>
      <c r="F26" s="2">
        <v>20</v>
      </c>
      <c r="G26" s="2">
        <f t="shared" si="0"/>
        <v>44.265</v>
      </c>
      <c r="H26" s="2">
        <f>(E26/2)*G13</f>
        <v>28.77225</v>
      </c>
      <c r="I26" s="2">
        <f>(E26/2)*G14</f>
        <v>6.639749999999999</v>
      </c>
    </row>
    <row r="27" spans="1:9" ht="12.75">
      <c r="A27" s="10"/>
      <c r="B27" s="1" t="s">
        <v>267</v>
      </c>
      <c r="E27" s="2">
        <v>40000</v>
      </c>
      <c r="F27" s="2">
        <v>20</v>
      </c>
      <c r="G27" s="2">
        <f t="shared" si="0"/>
        <v>2000</v>
      </c>
      <c r="H27" s="2">
        <f>(E27/2)*G13</f>
        <v>1300</v>
      </c>
      <c r="I27" s="2">
        <f>(E27/2)*G14</f>
        <v>300</v>
      </c>
    </row>
    <row r="28" spans="1:9" ht="13.5" thickBot="1">
      <c r="A28" s="10"/>
      <c r="B28" s="9" t="s">
        <v>232</v>
      </c>
      <c r="E28" s="44">
        <f>SUM(E21:E27)</f>
        <v>70395.3</v>
      </c>
      <c r="F28" s="3"/>
      <c r="G28" s="60">
        <f>SUM(G21:G27)</f>
        <v>3983.998333333334</v>
      </c>
      <c r="H28" s="60">
        <f>SUM(H21:H27)</f>
        <v>2287.84725</v>
      </c>
      <c r="I28" s="60">
        <f>SUM(I21:I27)</f>
        <v>527.96475</v>
      </c>
    </row>
    <row r="29" spans="1:9" ht="13.5" thickTop="1">
      <c r="A29" s="10"/>
      <c r="E29" s="45"/>
      <c r="F29" s="3"/>
      <c r="G29" s="45"/>
      <c r="H29" s="45"/>
      <c r="I29" s="45"/>
    </row>
    <row r="30" spans="1:9" ht="13.5" thickBot="1">
      <c r="A30" s="10"/>
      <c r="B30" s="9" t="s">
        <v>224</v>
      </c>
      <c r="E30" s="3"/>
      <c r="F30" s="3"/>
      <c r="G30" s="3"/>
      <c r="H30" s="3"/>
      <c r="I30" s="44">
        <f>G28+H28+I28</f>
        <v>6799.810333333334</v>
      </c>
    </row>
    <row r="31" spans="1:9" ht="13.5" thickTop="1">
      <c r="A31" s="10"/>
      <c r="E31" s="3"/>
      <c r="F31" s="3"/>
      <c r="G31" s="3"/>
      <c r="H31" s="3"/>
      <c r="I31" s="45"/>
    </row>
    <row r="32" spans="1:9" ht="13.5" thickBot="1">
      <c r="A32" s="10"/>
      <c r="B32" s="9" t="s">
        <v>95</v>
      </c>
      <c r="E32" s="3"/>
      <c r="F32" s="3"/>
      <c r="G32" s="3"/>
      <c r="H32" s="3"/>
      <c r="I32" s="43">
        <f>I30/F11</f>
        <v>135.99620666666667</v>
      </c>
    </row>
    <row r="33" spans="1:9" ht="13.5" thickTop="1">
      <c r="A33" s="10"/>
      <c r="E33" s="3"/>
      <c r="F33" s="3"/>
      <c r="G33" s="3"/>
      <c r="H33" s="3"/>
      <c r="I33" s="45"/>
    </row>
    <row r="34" spans="1:9" ht="12.75">
      <c r="A34" s="10"/>
      <c r="E34" s="3"/>
      <c r="F34" s="3"/>
      <c r="G34" s="3"/>
      <c r="H34" s="3"/>
      <c r="I34" s="3"/>
    </row>
    <row r="35" spans="1:9" ht="12.75">
      <c r="A35" s="10"/>
      <c r="B35" s="9" t="s">
        <v>178</v>
      </c>
      <c r="E35" s="3"/>
      <c r="F35" s="3"/>
      <c r="G35" s="3"/>
      <c r="H35" s="3"/>
      <c r="I35" s="3"/>
    </row>
    <row r="36" spans="1:9" ht="12.75">
      <c r="A36" s="10"/>
      <c r="E36" s="3"/>
      <c r="F36" s="3"/>
      <c r="G36" s="3"/>
      <c r="H36" s="3"/>
      <c r="I36" s="3"/>
    </row>
    <row r="37" spans="1:9" ht="12.75">
      <c r="A37" s="10"/>
      <c r="B37" s="1" t="s">
        <v>172</v>
      </c>
      <c r="E37" s="3"/>
      <c r="F37" s="3"/>
      <c r="G37" s="2">
        <v>7.5</v>
      </c>
      <c r="H37" s="3"/>
      <c r="I37" s="3"/>
    </row>
    <row r="38" spans="1:9" ht="12.75">
      <c r="A38" s="10"/>
      <c r="B38" s="1" t="s">
        <v>203</v>
      </c>
      <c r="E38" s="3"/>
      <c r="F38" s="3"/>
      <c r="G38" s="2">
        <f>(E28-E26-E27)*0.005+25+(E22*0.12)</f>
        <v>742.55</v>
      </c>
      <c r="H38" s="3"/>
      <c r="I38" s="3"/>
    </row>
    <row r="39" spans="1:9" ht="12.75">
      <c r="A39" s="10"/>
      <c r="B39" s="1" t="s">
        <v>96</v>
      </c>
      <c r="E39" s="3"/>
      <c r="F39" s="3"/>
      <c r="G39" s="2">
        <v>1820</v>
      </c>
      <c r="H39" s="3"/>
      <c r="I39" s="3"/>
    </row>
    <row r="40" spans="1:9" ht="12.75">
      <c r="A40" s="10"/>
      <c r="B40" s="1" t="s">
        <v>117</v>
      </c>
      <c r="E40" s="3"/>
      <c r="F40" s="3"/>
      <c r="G40" s="2"/>
      <c r="H40" s="3"/>
      <c r="I40" s="3"/>
    </row>
    <row r="41" spans="1:9" ht="12.75">
      <c r="A41" s="10"/>
      <c r="B41" s="1" t="s">
        <v>9</v>
      </c>
      <c r="E41" s="3"/>
      <c r="F41" s="3"/>
      <c r="G41" s="2">
        <f>G37*12</f>
        <v>90</v>
      </c>
      <c r="H41" s="3"/>
      <c r="I41" s="3"/>
    </row>
    <row r="42" spans="1:9" ht="12.75">
      <c r="A42" s="10"/>
      <c r="B42" s="1" t="s">
        <v>30</v>
      </c>
      <c r="E42" s="3"/>
      <c r="F42" s="3"/>
      <c r="G42" s="4">
        <v>0.08</v>
      </c>
      <c r="H42" s="3"/>
      <c r="I42" s="3"/>
    </row>
    <row r="43" spans="1:9" ht="12.75">
      <c r="A43" s="10"/>
      <c r="B43" s="1" t="s">
        <v>93</v>
      </c>
      <c r="E43" s="3"/>
      <c r="F43" s="3"/>
      <c r="G43" s="2">
        <f>(G37*0.746*G42*G39)+G41</f>
        <v>904.632</v>
      </c>
      <c r="H43" s="3"/>
      <c r="I43" s="3"/>
    </row>
    <row r="44" spans="1:9" ht="12.75">
      <c r="A44" s="10"/>
      <c r="B44" s="1" t="s">
        <v>94</v>
      </c>
      <c r="E44" s="3"/>
      <c r="F44" s="3"/>
      <c r="G44" s="3"/>
      <c r="H44" s="3"/>
      <c r="I44" s="4">
        <f>G43/F11</f>
        <v>18.09264</v>
      </c>
    </row>
    <row r="45" spans="1:9" ht="12.75">
      <c r="A45" s="10"/>
      <c r="B45" s="9" t="s">
        <v>177</v>
      </c>
      <c r="E45" s="3"/>
      <c r="F45" s="3"/>
      <c r="G45" s="3"/>
      <c r="H45" s="3"/>
      <c r="I45" s="6">
        <f>(G38+G43)/F11</f>
        <v>32.943639999999995</v>
      </c>
    </row>
    <row r="46" spans="1:9" ht="12.75">
      <c r="A46" s="10"/>
      <c r="E46" s="3"/>
      <c r="F46" s="3"/>
      <c r="G46" s="3"/>
      <c r="H46" s="3"/>
      <c r="I46" s="3"/>
    </row>
    <row r="47" spans="1:9" ht="12.75">
      <c r="A47" s="10"/>
      <c r="E47" s="3"/>
      <c r="F47" s="3"/>
      <c r="G47" s="3"/>
      <c r="H47" s="3"/>
      <c r="I47" s="3"/>
    </row>
    <row r="48" spans="1:9" ht="13.5" thickBot="1">
      <c r="A48" s="10"/>
      <c r="B48" s="9" t="s">
        <v>223</v>
      </c>
      <c r="E48" s="3"/>
      <c r="F48" s="3"/>
      <c r="G48" s="3"/>
      <c r="H48" s="3"/>
      <c r="I48" s="43">
        <f>I32+I45</f>
        <v>168.93984666666665</v>
      </c>
    </row>
    <row r="49" spans="1:9" ht="13.5" thickTop="1">
      <c r="A49" s="10"/>
      <c r="E49" s="3"/>
      <c r="F49" s="3"/>
      <c r="G49" s="3"/>
      <c r="H49" s="3"/>
      <c r="I49" s="45"/>
    </row>
    <row r="50" spans="1:9" ht="12.75">
      <c r="A50" s="10"/>
      <c r="E50" s="3"/>
      <c r="F50" s="3"/>
      <c r="G50" s="3"/>
      <c r="H50" s="3"/>
      <c r="I50" s="3"/>
    </row>
    <row r="51" spans="1:9" ht="12.75">
      <c r="A51" s="10"/>
      <c r="E51" s="3"/>
      <c r="F51" s="3"/>
      <c r="G51" s="3"/>
      <c r="H51" s="3"/>
      <c r="I51" s="3"/>
    </row>
    <row r="52" spans="1:9" ht="12.75">
      <c r="A52" s="10"/>
      <c r="E52" s="3"/>
      <c r="F52" s="3"/>
      <c r="G52" s="3"/>
      <c r="H52" s="3"/>
      <c r="I52" s="3"/>
    </row>
    <row r="53" spans="1:9" ht="12.75">
      <c r="A53" s="10"/>
      <c r="E53" s="3"/>
      <c r="F53" s="3"/>
      <c r="G53" s="3"/>
      <c r="H53" s="3"/>
      <c r="I53" s="3"/>
    </row>
    <row r="54" spans="1:9" ht="12.75">
      <c r="A54" s="10" t="s">
        <v>77</v>
      </c>
      <c r="E54" s="3"/>
      <c r="F54" s="3"/>
      <c r="G54" s="3"/>
      <c r="H54" s="3"/>
      <c r="I54" s="3"/>
    </row>
    <row r="55" spans="1:9" ht="12.75">
      <c r="A55" s="10"/>
      <c r="E55" s="3"/>
      <c r="F55" s="3"/>
      <c r="G55" s="3"/>
      <c r="H55" s="3"/>
      <c r="I55" s="3"/>
    </row>
    <row r="56" spans="1:9" ht="12.75">
      <c r="A56" s="10"/>
      <c r="E56" s="3"/>
      <c r="F56" s="3"/>
      <c r="G56" s="3"/>
      <c r="H56" s="3"/>
      <c r="I56" s="3"/>
    </row>
  </sheetData>
  <sheetProtection/>
  <mergeCells count="4">
    <mergeCell ref="C4:H4"/>
    <mergeCell ref="C6:H6"/>
    <mergeCell ref="C7:H7"/>
    <mergeCell ref="C9:H9"/>
  </mergeCells>
  <printOptions/>
  <pageMargins left="0.75" right="0.75" top="1" bottom="1" header="0.5" footer="0.5"/>
  <pageSetup horizontalDpi="600" verticalDpi="600" orientation="portrait" r:id="rId2"/>
  <rowBreaks count="1" manualBreakCount="1">
    <brk id="5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8"/>
  </sheetPr>
  <dimension ref="B4:I31"/>
  <sheetViews>
    <sheetView zoomScalePageLayoutView="0" workbookViewId="0" topLeftCell="A1">
      <selection activeCell="G42" sqref="G42"/>
    </sheetView>
  </sheetViews>
  <sheetFormatPr defaultColWidth="9.140625" defaultRowHeight="12.75"/>
  <cols>
    <col min="1" max="5" width="9.140625" style="1" customWidth="1"/>
    <col min="6" max="6" width="10.8515625" style="1" customWidth="1"/>
    <col min="7" max="7" width="10.00390625" style="1" customWidth="1"/>
    <col min="8" max="8" width="10.8515625" style="1" customWidth="1"/>
    <col min="9" max="16384" width="9.140625" style="1" customWidth="1"/>
  </cols>
  <sheetData>
    <row r="4" spans="4:6" ht="15.75">
      <c r="D4" s="150" t="s">
        <v>183</v>
      </c>
      <c r="E4" s="149"/>
      <c r="F4" s="149"/>
    </row>
    <row r="6" ht="12.75">
      <c r="C6" s="9" t="s">
        <v>217</v>
      </c>
    </row>
    <row r="8" spans="2:8" ht="12.75">
      <c r="B8" s="3"/>
      <c r="C8" s="3"/>
      <c r="D8" s="3"/>
      <c r="E8" s="3"/>
      <c r="F8" s="3" t="s">
        <v>205</v>
      </c>
      <c r="G8" s="3"/>
      <c r="H8" s="3" t="s">
        <v>205</v>
      </c>
    </row>
    <row r="9" spans="2:8" ht="12.75">
      <c r="B9" s="3" t="s">
        <v>251</v>
      </c>
      <c r="C9" s="3" t="s">
        <v>252</v>
      </c>
      <c r="D9" s="3" t="s">
        <v>193</v>
      </c>
      <c r="E9" s="3" t="s">
        <v>247</v>
      </c>
      <c r="F9" s="3" t="s">
        <v>247</v>
      </c>
      <c r="G9" s="3" t="s">
        <v>226</v>
      </c>
      <c r="H9" s="3" t="s">
        <v>226</v>
      </c>
    </row>
    <row r="11" spans="2:8" ht="12.75">
      <c r="B11" s="3">
        <v>1</v>
      </c>
      <c r="C11" s="3">
        <v>0</v>
      </c>
      <c r="D11" s="8">
        <v>2</v>
      </c>
      <c r="E11" s="4">
        <f>Yr1!H34</f>
        <v>1538.5820594481518</v>
      </c>
      <c r="F11" s="4">
        <f aca="true" t="shared" si="0" ref="F11:F25">(C11*D11)-E11</f>
        <v>-1538.5820594481518</v>
      </c>
      <c r="G11" s="4">
        <f>Yr1!H34</f>
        <v>1538.5820594481518</v>
      </c>
      <c r="H11" s="4">
        <f aca="true" t="shared" si="1" ref="H11:H25">(C11*D11)-G11</f>
        <v>-1538.5820594481518</v>
      </c>
    </row>
    <row r="12" spans="2:8" ht="12.75">
      <c r="B12" s="3">
        <v>2</v>
      </c>
      <c r="C12" s="3">
        <v>0</v>
      </c>
      <c r="D12" s="8">
        <v>2.2</v>
      </c>
      <c r="E12" s="4">
        <f>+Yr2!H35</f>
        <v>1439.5677242566667</v>
      </c>
      <c r="F12" s="4">
        <f t="shared" si="0"/>
        <v>-1439.5677242566667</v>
      </c>
      <c r="G12" s="4">
        <f>Yr2!H35</f>
        <v>1439.5677242566667</v>
      </c>
      <c r="H12" s="4">
        <f t="shared" si="1"/>
        <v>-1439.5677242566667</v>
      </c>
    </row>
    <row r="13" spans="2:8" ht="12.75">
      <c r="B13" s="3">
        <v>3</v>
      </c>
      <c r="C13" s="3">
        <v>0</v>
      </c>
      <c r="D13" s="8">
        <v>2.35</v>
      </c>
      <c r="E13" s="4">
        <f>Yr2!H$35</f>
        <v>1439.5677242566667</v>
      </c>
      <c r="F13" s="4">
        <f t="shared" si="0"/>
        <v>-1439.5677242566667</v>
      </c>
      <c r="G13" s="4">
        <f>Yr2!H35</f>
        <v>1439.5677242566667</v>
      </c>
      <c r="H13" s="4">
        <f t="shared" si="1"/>
        <v>-1439.5677242566667</v>
      </c>
    </row>
    <row r="14" spans="2:8" ht="12.75">
      <c r="B14" s="3">
        <v>4</v>
      </c>
      <c r="C14" s="3">
        <v>0</v>
      </c>
      <c r="D14" s="8">
        <v>2.5</v>
      </c>
      <c r="E14" s="4">
        <f>Yr2!H$35</f>
        <v>1439.5677242566667</v>
      </c>
      <c r="F14" s="4">
        <f t="shared" si="0"/>
        <v>-1439.5677242566667</v>
      </c>
      <c r="G14" s="4">
        <f>Yr2!H35</f>
        <v>1439.5677242566667</v>
      </c>
      <c r="H14" s="4">
        <f t="shared" si="1"/>
        <v>-1439.5677242566667</v>
      </c>
    </row>
    <row r="15" spans="2:8" ht="12.75">
      <c r="B15" s="3">
        <v>5</v>
      </c>
      <c r="C15" s="3">
        <v>0</v>
      </c>
      <c r="D15" s="8">
        <v>2.5</v>
      </c>
      <c r="E15" s="4">
        <f>Yr3!H$35</f>
        <v>1333.6513442566666</v>
      </c>
      <c r="F15" s="4">
        <f t="shared" si="0"/>
        <v>-1333.6513442566666</v>
      </c>
      <c r="G15" s="4">
        <f>Yr3!H35</f>
        <v>1333.6513442566666</v>
      </c>
      <c r="H15" s="4">
        <f t="shared" si="1"/>
        <v>-1333.6513442566666</v>
      </c>
    </row>
    <row r="16" spans="2:8" ht="12.75">
      <c r="B16" s="3">
        <v>6</v>
      </c>
      <c r="C16" s="3">
        <v>0</v>
      </c>
      <c r="D16" s="8">
        <v>3</v>
      </c>
      <c r="E16" s="4">
        <f>Yr3!H$35</f>
        <v>1333.6513442566666</v>
      </c>
      <c r="F16" s="4">
        <f t="shared" si="0"/>
        <v>-1333.6513442566666</v>
      </c>
      <c r="G16" s="4">
        <f>Yr3!H35</f>
        <v>1333.6513442566666</v>
      </c>
      <c r="H16" s="4">
        <f t="shared" si="1"/>
        <v>-1333.6513442566666</v>
      </c>
    </row>
    <row r="17" spans="2:8" ht="12.75">
      <c r="B17" s="3">
        <v>7</v>
      </c>
      <c r="C17" s="3">
        <v>0</v>
      </c>
      <c r="D17" s="8">
        <v>3</v>
      </c>
      <c r="E17" s="4">
        <f>Yr3!H$35</f>
        <v>1333.6513442566666</v>
      </c>
      <c r="F17" s="4">
        <f t="shared" si="0"/>
        <v>-1333.6513442566666</v>
      </c>
      <c r="G17" s="4">
        <f>Yr3!H35</f>
        <v>1333.6513442566666</v>
      </c>
      <c r="H17" s="4">
        <f t="shared" si="1"/>
        <v>-1333.6513442566666</v>
      </c>
    </row>
    <row r="18" spans="2:8" ht="12.75">
      <c r="B18" s="3">
        <v>8</v>
      </c>
      <c r="C18" s="3">
        <v>800</v>
      </c>
      <c r="D18" s="8">
        <v>2.7</v>
      </c>
      <c r="E18" s="4">
        <f>Bud!I$50</f>
        <v>1531.44364</v>
      </c>
      <c r="F18" s="4">
        <f t="shared" si="0"/>
        <v>628.55636</v>
      </c>
      <c r="G18" s="4">
        <f>Yr3!H35+(C18*0.13)</f>
        <v>1437.6513442566666</v>
      </c>
      <c r="H18" s="4">
        <f t="shared" si="1"/>
        <v>722.3486557433334</v>
      </c>
    </row>
    <row r="19" spans="2:8" ht="12.75">
      <c r="B19" s="3">
        <v>9</v>
      </c>
      <c r="C19" s="3">
        <v>800</v>
      </c>
      <c r="D19" s="8">
        <v>2.5</v>
      </c>
      <c r="E19" s="4">
        <f>Bud!I$50</f>
        <v>1531.44364</v>
      </c>
      <c r="F19" s="4">
        <f t="shared" si="0"/>
        <v>468.55636000000004</v>
      </c>
      <c r="G19" s="4">
        <f>Yr3!H35+(C19*0.13)</f>
        <v>1437.6513442566666</v>
      </c>
      <c r="H19" s="4">
        <f t="shared" si="1"/>
        <v>562.3486557433334</v>
      </c>
    </row>
    <row r="20" spans="2:9" ht="12.75">
      <c r="B20" s="3">
        <v>10</v>
      </c>
      <c r="C20" s="3">
        <v>900</v>
      </c>
      <c r="D20" s="8">
        <v>2.65</v>
      </c>
      <c r="E20" s="4">
        <f>Bud!I$50</f>
        <v>1531.44364</v>
      </c>
      <c r="F20" s="4">
        <f t="shared" si="0"/>
        <v>853.55636</v>
      </c>
      <c r="G20" s="4">
        <f>Bud!I40+Bud!I57+(C20*0.13)</f>
        <v>1645.885678</v>
      </c>
      <c r="H20" s="4">
        <f t="shared" si="1"/>
        <v>739.1143219999999</v>
      </c>
      <c r="I20" s="9" t="s">
        <v>73</v>
      </c>
    </row>
    <row r="21" spans="2:8" ht="12.75">
      <c r="B21" s="3">
        <v>11</v>
      </c>
      <c r="C21" s="3">
        <v>1000</v>
      </c>
      <c r="D21" s="8">
        <v>2.65</v>
      </c>
      <c r="E21" s="4">
        <f>Bud!I$50</f>
        <v>1531.44364</v>
      </c>
      <c r="F21" s="4">
        <f t="shared" si="0"/>
        <v>1118.55636</v>
      </c>
      <c r="G21" s="4">
        <f>Bud!I40+Bud!I57+(C21*0.13)</f>
        <v>1658.885678</v>
      </c>
      <c r="H21" s="4">
        <f t="shared" si="1"/>
        <v>991.1143219999999</v>
      </c>
    </row>
    <row r="22" spans="2:8" ht="12.75">
      <c r="B22" s="3">
        <v>12</v>
      </c>
      <c r="C22" s="3">
        <v>1000</v>
      </c>
      <c r="D22" s="8">
        <v>2.35</v>
      </c>
      <c r="E22" s="4">
        <f>Bud!I$50</f>
        <v>1531.44364</v>
      </c>
      <c r="F22" s="4">
        <f t="shared" si="0"/>
        <v>818.55636</v>
      </c>
      <c r="G22" s="4">
        <f>Bud!I40+Bud!I57+(C22*0.13)</f>
        <v>1658.885678</v>
      </c>
      <c r="H22" s="4">
        <f t="shared" si="1"/>
        <v>691.1143219999999</v>
      </c>
    </row>
    <row r="23" spans="2:8" ht="12.75">
      <c r="B23" s="3">
        <v>13</v>
      </c>
      <c r="C23" s="3">
        <v>1000</v>
      </c>
      <c r="D23" s="8">
        <v>2.35</v>
      </c>
      <c r="E23" s="4">
        <f>Bud!I$50</f>
        <v>1531.44364</v>
      </c>
      <c r="F23" s="4">
        <f t="shared" si="0"/>
        <v>818.55636</v>
      </c>
      <c r="G23" s="4">
        <f>Bud!I40+Bud!I57+(C23*0.13)</f>
        <v>1658.885678</v>
      </c>
      <c r="H23" s="4">
        <f t="shared" si="1"/>
        <v>691.1143219999999</v>
      </c>
    </row>
    <row r="24" spans="2:8" ht="12.75">
      <c r="B24" s="3">
        <v>14</v>
      </c>
      <c r="C24" s="3">
        <v>1000</v>
      </c>
      <c r="D24" s="8">
        <v>2.35</v>
      </c>
      <c r="E24" s="4">
        <f>Bud!I$50</f>
        <v>1531.44364</v>
      </c>
      <c r="F24" s="4">
        <f t="shared" si="0"/>
        <v>818.55636</v>
      </c>
      <c r="G24" s="4">
        <f>Bud!I40+Bud!I57+(C24*0.13)</f>
        <v>1658.885678</v>
      </c>
      <c r="H24" s="4">
        <f t="shared" si="1"/>
        <v>691.1143219999999</v>
      </c>
    </row>
    <row r="25" spans="2:8" ht="12.75">
      <c r="B25" s="3">
        <v>15</v>
      </c>
      <c r="C25" s="3">
        <v>1000</v>
      </c>
      <c r="D25" s="8">
        <v>2.35</v>
      </c>
      <c r="E25" s="4">
        <f>Bud!I$50</f>
        <v>1531.44364</v>
      </c>
      <c r="F25" s="4">
        <f t="shared" si="0"/>
        <v>818.55636</v>
      </c>
      <c r="G25" s="4">
        <f>Bud!I40+Bud!I57+(C25*0.13)</f>
        <v>1658.885678</v>
      </c>
      <c r="H25" s="4">
        <f t="shared" si="1"/>
        <v>691.1143219999999</v>
      </c>
    </row>
    <row r="26" spans="2:8" ht="12.75">
      <c r="B26" s="3"/>
      <c r="C26" s="3"/>
      <c r="D26" s="3"/>
      <c r="E26" s="3"/>
      <c r="F26" s="3"/>
      <c r="G26" s="3"/>
      <c r="H26" s="3"/>
    </row>
    <row r="27" spans="2:8" ht="12.75">
      <c r="B27" s="3"/>
      <c r="C27" s="9" t="s">
        <v>73</v>
      </c>
      <c r="D27" s="3" t="s">
        <v>218</v>
      </c>
      <c r="E27" s="3"/>
      <c r="F27" s="3"/>
      <c r="G27" s="3"/>
      <c r="H27" s="3"/>
    </row>
    <row r="28" spans="2:8" ht="12.75">
      <c r="B28" s="3"/>
      <c r="C28" s="3"/>
      <c r="D28" s="3" t="s">
        <v>146</v>
      </c>
      <c r="E28" s="3"/>
      <c r="F28" s="3"/>
      <c r="G28" s="3"/>
      <c r="H28" s="3"/>
    </row>
    <row r="30" ht="12.75">
      <c r="C30" s="1" t="s">
        <v>77</v>
      </c>
    </row>
    <row r="31" ht="12.75">
      <c r="B31" s="1" t="s">
        <v>77</v>
      </c>
    </row>
    <row r="33" ht="12.75"/>
    <row r="34" ht="12.75"/>
  </sheetData>
  <sheetProtection/>
  <mergeCells count="1">
    <mergeCell ref="D4:F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Fonsah</dc:creator>
  <cp:keywords/>
  <dc:description/>
  <cp:lastModifiedBy>Windows User</cp:lastModifiedBy>
  <cp:lastPrinted>2020-02-25T13:10:15Z</cp:lastPrinted>
  <dcterms:created xsi:type="dcterms:W3CDTF">2017-01-27T13:31:33Z</dcterms:created>
  <dcterms:modified xsi:type="dcterms:W3CDTF">2020-02-25T13:10:21Z</dcterms:modified>
  <cp:category/>
  <cp:version/>
  <cp:contentType/>
  <cp:contentStatus/>
</cp:coreProperties>
</file>