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Returns" sheetId="9" r:id="rId9"/>
    <sheet name="H" sheetId="10" r:id="rId10"/>
    <sheet name="N" sheetId="11" r:id="rId11"/>
  </sheets>
  <definedNames>
    <definedName name="\AUTOEXEC">'Bud'!$U$140:$U$142</definedName>
    <definedName name="\C">'Bud'!$I$148:$I$188</definedName>
    <definedName name="\FLOW">'N'!$E$1:$E$4</definedName>
    <definedName name="\T">'Bud'!$C$148:$C$188</definedName>
    <definedName name="\TOTAL">'N'!$B$1:$B$4</definedName>
    <definedName name="\V">'Bud'!$O$140:$O$180</definedName>
    <definedName name="\VARIABLE">'N'!$H$1:$H$4</definedName>
    <definedName name="\X">'Bud'!$F$148:$F$188</definedName>
    <definedName name="\Y">'Bud'!$L$140:$L$180</definedName>
    <definedName name="\Z">'Bud'!$R$140:$R$180</definedName>
    <definedName name="ENR">'Bud'!$O$96:$O$96</definedName>
    <definedName name="ENR_MNR">'Bud'!$O$96:$O$96</definedName>
    <definedName name="ETR">'Bud'!$M$95:$M$95</definedName>
    <definedName name="EXPP">'Bud'!$O$77:$O$77</definedName>
    <definedName name="EXPY">'Bud'!$M$77:$M$77</definedName>
    <definedName name="MEDP">'Bud'!$G$16:$G$16</definedName>
    <definedName name="MEDY">'Bud'!$G$15:$G$15</definedName>
    <definedName name="MNR">'Bud'!$M$97:$M$97</definedName>
    <definedName name="MTC">'Bud'!$O$95:$O$95</definedName>
    <definedName name="MTCV">'Bud'!$O$95:$O$95</definedName>
    <definedName name="MTR">'Bud'!$M$96:$M$96</definedName>
    <definedName name="STRHH">'Bud'!$M$91:$M$91</definedName>
    <definedName name="STRHL">'Bud'!$M$92:$M$92</definedName>
    <definedName name="STRLH">'Bud'!$O$92:$O$92</definedName>
    <definedName name="STRLL">'Bud'!$O$91:$O$91</definedName>
    <definedName name="STRO">'Bud'!$M$93:$M$93</definedName>
    <definedName name="STRP">'Bud'!$O$93:$O$93</definedName>
    <definedName name="UNIT">'Bud'!$I$10:$I$10</definedName>
    <definedName name="UNITCOST">'Bud'!$I$58:$I$58</definedName>
  </definedNames>
  <calcPr fullCalcOnLoad="1"/>
</workbook>
</file>

<file path=xl/sharedStrings.xml><?xml version="1.0" encoding="utf-8"?>
<sst xmlns="http://schemas.openxmlformats.org/spreadsheetml/2006/main" count="662" uniqueCount="335">
  <si>
    <t/>
  </si>
  <si>
    <t>-</t>
  </si>
  <si>
    <t xml:space="preserve"> </t>
  </si>
  <si>
    <t xml:space="preserve">          RISK RATED RETURNS OVER TOTAL COSTS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</si>
  <si>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</si>
  <si>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</si>
  <si>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</si>
  <si>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</si>
  <si>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</si>
  <si>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</si>
  <si>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</si>
  <si>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</si>
  <si>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</si>
  <si>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</si>
  <si>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</si>
  <si>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</si>
  <si>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</si>
  <si>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</si>
  <si>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</si>
  <si>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</si>
  <si>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</si>
  <si>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</si>
  <si>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</si>
  <si>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</si>
  <si>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</si>
  <si>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</si>
  <si>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</si>
  <si>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</si>
  <si>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</si>
  <si>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</si>
  <si>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</si>
  <si>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</si>
  <si>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</si>
  <si>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</si>
  <si>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</si>
  <si>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</si>
  <si>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</si>
  <si>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</si>
  <si>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</si>
  <si>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</si>
  <si>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</si>
  <si>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</si>
  <si>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</si>
  <si>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</si>
  <si>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</si>
  <si>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</si>
  <si>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</si>
  <si>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</si>
  <si>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</si>
  <si>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</si>
  <si>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</si>
  <si>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</si>
  <si>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</si>
  <si>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</si>
  <si>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</si>
  <si>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</si>
  <si>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</si>
  <si>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</si>
  <si>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</si>
  <si>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Rep &amp; maint.+ irrigation</t>
  </si>
  <si>
    <t xml:space="preserve"> Repair &amp; Maintenance</t>
  </si>
  <si>
    <t xml:space="preserve"> Rotary Mower</t>
  </si>
  <si>
    <t xml:space="preserve"> Rotary Mower(15')</t>
  </si>
  <si>
    <t xml:space="preserve"> Shake</t>
  </si>
  <si>
    <t xml:space="preserve"> Sprayer,airblast</t>
  </si>
  <si>
    <t xml:space="preserve"> Sprayer:</t>
  </si>
  <si>
    <t xml:space="preserve"> Sweep</t>
  </si>
  <si>
    <t>$</t>
  </si>
  <si>
    <t>$Amt/ac</t>
  </si>
  <si>
    <t>%</t>
  </si>
  <si>
    <t>($)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</si>
  <si>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</si>
  <si>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</si>
  <si>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</si>
  <si>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</si>
  <si>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</si>
  <si>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</si>
  <si>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</si>
  <si>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</si>
  <si>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</si>
  <si>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</si>
  <si>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</si>
  <si>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</si>
  <si>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</si>
  <si>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</si>
  <si>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</si>
  <si>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</si>
  <si>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</si>
  <si>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</si>
  <si>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</si>
  <si>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</si>
  <si>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</si>
  <si>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</si>
  <si>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</si>
  <si>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</si>
  <si>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</si>
  <si>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</si>
  <si>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</si>
  <si>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</si>
  <si>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</si>
  <si>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</si>
  <si>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</si>
  <si>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</si>
  <si>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</si>
  <si>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</si>
  <si>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</si>
  <si>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 xml:space="preserve">BE fixed costs                 </t>
  </si>
  <si>
    <t>Best</t>
  </si>
  <si>
    <t xml:space="preserve">Blower </t>
  </si>
  <si>
    <t>Break-Even (BE) Costs Per Lb.</t>
  </si>
  <si>
    <t>Brokerage fee (%)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</si>
  <si>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</si>
  <si>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</si>
  <si>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</si>
  <si>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</si>
  <si>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</si>
  <si>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</si>
  <si>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</si>
  <si>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Crop</t>
  </si>
  <si>
    <t>Deprec.</t>
  </si>
  <si>
    <t>DEPREC.</t>
  </si>
  <si>
    <t>DEPTH OF WELL IN FEET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</si>
  <si>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</si>
  <si>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</si>
  <si>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</si>
  <si>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</si>
  <si>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</si>
  <si>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</si>
  <si>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</si>
  <si>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</si>
  <si>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</si>
  <si>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</si>
  <si>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</si>
  <si>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</si>
  <si>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</si>
  <si>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>Foliar Boron</t>
  </si>
  <si>
    <t>Foliar Zn</t>
  </si>
  <si>
    <t>For</t>
  </si>
  <si>
    <t>Fuel</t>
  </si>
  <si>
    <t>Fungicide</t>
  </si>
  <si>
    <t>Fungicides</t>
  </si>
  <si>
    <t>Gal</t>
  </si>
  <si>
    <t>General Overhead</t>
  </si>
  <si>
    <t>Harvest</t>
  </si>
  <si>
    <t>Harvest and Marketing Costs</t>
  </si>
  <si>
    <t>Harvester</t>
  </si>
  <si>
    <t xml:space="preserve">Harvesting (shake, sweep, haul) 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</si>
  <si>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</si>
  <si>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</si>
  <si>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</si>
  <si>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</si>
  <si>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</si>
  <si>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</si>
  <si>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</si>
  <si>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</si>
  <si>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</si>
  <si>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</si>
  <si>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</si>
  <si>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</si>
  <si>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</si>
  <si>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</si>
  <si>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</si>
  <si>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</si>
  <si>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</si>
  <si>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</si>
  <si>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</si>
  <si>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</si>
  <si>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</si>
  <si>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Labor</t>
  </si>
  <si>
    <t>Land Lease</t>
  </si>
  <si>
    <t>Lbs</t>
  </si>
  <si>
    <t>Lbs.</t>
  </si>
  <si>
    <t>Life</t>
  </si>
  <si>
    <t>Lime (DOL.)</t>
  </si>
  <si>
    <t>Lime (Dolomite)</t>
  </si>
  <si>
    <t>Lime, applied</t>
  </si>
  <si>
    <t>Mach</t>
  </si>
  <si>
    <t>Management Overhead</t>
  </si>
  <si>
    <t>MARKETED</t>
  </si>
  <si>
    <t>Median</t>
  </si>
  <si>
    <t>MOTOR SIZE (HP)</t>
  </si>
  <si>
    <t>N (46% Urea)</t>
  </si>
  <si>
    <t>Net return levels (TOP ROW);</t>
  </si>
  <si>
    <t>NEW COST</t>
  </si>
  <si>
    <t>Number</t>
  </si>
  <si>
    <t>OPERATING COST PER ACRE PER YEAR</t>
  </si>
  <si>
    <t>OPERATING COSTS</t>
  </si>
  <si>
    <t>Other</t>
  </si>
  <si>
    <t>Over</t>
  </si>
  <si>
    <t>Overhead and Management</t>
  </si>
  <si>
    <t xml:space="preserve">PECAN  RETURNS </t>
  </si>
  <si>
    <t>Per</t>
  </si>
  <si>
    <t>Percent</t>
  </si>
  <si>
    <t>Pess</t>
  </si>
  <si>
    <t>Phosphorus</t>
  </si>
  <si>
    <t>PIPE &amp; FITTINGS</t>
  </si>
  <si>
    <t>Potassium</t>
  </si>
  <si>
    <t>Potassium (K)</t>
  </si>
  <si>
    <t>Pre-Harvest</t>
  </si>
  <si>
    <t>Pre-Harvest Variable Costs</t>
  </si>
  <si>
    <t>Prepared by Esendugue Greg Fonsah, Lenny Wells, Will Hudson and Doug Collins</t>
  </si>
  <si>
    <t>Price</t>
  </si>
  <si>
    <t>PRICE</t>
  </si>
  <si>
    <t>Price/lb</t>
  </si>
  <si>
    <t>Purchase</t>
  </si>
  <si>
    <t>PUTBLOCK</t>
  </si>
  <si>
    <t>Quant.</t>
  </si>
  <si>
    <t>QUANT.</t>
  </si>
  <si>
    <t>Quantity</t>
  </si>
  <si>
    <t>Repair &amp; Matenance</t>
  </si>
  <si>
    <t>Repairs</t>
  </si>
  <si>
    <t>REPAIRS</t>
  </si>
  <si>
    <t>Repairs &amp; Maintenance</t>
  </si>
  <si>
    <t>Return over</t>
  </si>
  <si>
    <t>RETURNS</t>
  </si>
  <si>
    <t>RRRETURNS</t>
  </si>
  <si>
    <t xml:space="preserve">Salvage </t>
  </si>
  <si>
    <t>Shaker</t>
  </si>
  <si>
    <t>SPACING</t>
  </si>
  <si>
    <t>Speed</t>
  </si>
  <si>
    <t>Spray material</t>
  </si>
  <si>
    <t>Sweeper(2)**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</si>
  <si>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</si>
  <si>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</si>
  <si>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</si>
  <si>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</si>
  <si>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</si>
  <si>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</si>
  <si>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</si>
  <si>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</si>
  <si>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</si>
  <si>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</si>
  <si>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</si>
  <si>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</si>
  <si>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</si>
  <si>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Cost</t>
  </si>
  <si>
    <t>Total Establishment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</si>
  <si>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</si>
  <si>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</si>
  <si>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</si>
  <si>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</si>
  <si>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</si>
  <si>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</si>
  <si>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</si>
  <si>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</si>
  <si>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</si>
  <si>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</si>
  <si>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</si>
  <si>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</si>
  <si>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</si>
  <si>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</si>
  <si>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Truck</t>
  </si>
  <si>
    <t>Unit</t>
  </si>
  <si>
    <t>UNIT</t>
  </si>
  <si>
    <t>Use</t>
  </si>
  <si>
    <t>Used</t>
  </si>
  <si>
    <t>Value</t>
  </si>
  <si>
    <t>Var. Cost</t>
  </si>
  <si>
    <t>Variable Cost Budget</t>
  </si>
  <si>
    <t>Variable Costs</t>
  </si>
  <si>
    <t>VOLUME</t>
  </si>
  <si>
    <t>Wagons(4 used)</t>
  </si>
  <si>
    <t>Width</t>
  </si>
  <si>
    <t>Worst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</si>
  <si>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</si>
  <si>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</si>
  <si>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</si>
  <si>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</si>
  <si>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</si>
  <si>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</si>
  <si>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</si>
  <si>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</si>
  <si>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>Dump carts</t>
  </si>
  <si>
    <t xml:space="preserve">Insecticide </t>
  </si>
  <si>
    <t>Land rent 1/-</t>
  </si>
  <si>
    <t xml:space="preserve">1/-  Land rents vary from $100 - $300 in Georgia.  It depends on whether it is irrigated or not. </t>
  </si>
  <si>
    <t xml:space="preserve"> Fuel &amp; Oil</t>
  </si>
  <si>
    <t>Irrigation (electricity)</t>
  </si>
  <si>
    <t>Limb rake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</si>
  <si>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</si>
  <si>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</si>
  <si>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</si>
  <si>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</si>
  <si>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</si>
  <si>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</si>
  <si>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</si>
  <si>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</si>
  <si>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FMO Commission</t>
  </si>
  <si>
    <t>Trees (40 x 40)  2/-</t>
  </si>
  <si>
    <t>3/-  Land lease vary from $100 - $300 depending on many factors such as irrigated or not.</t>
  </si>
  <si>
    <t>Land Lease 3/-</t>
  </si>
  <si>
    <t>Alion</t>
  </si>
  <si>
    <t>RU</t>
  </si>
  <si>
    <t>Lorsban</t>
  </si>
  <si>
    <t xml:space="preserve">Total </t>
  </si>
  <si>
    <t>Total Chemicals</t>
  </si>
  <si>
    <t>BE Yields (Lbs.)</t>
  </si>
  <si>
    <t>GA Pecan Commission</t>
  </si>
  <si>
    <t>Total Fixed Costs ($)</t>
  </si>
  <si>
    <t>Total budgeted cost per acre ($)</t>
  </si>
  <si>
    <t>BE pre-harvest variable cost per lb ($).</t>
  </si>
  <si>
    <t>BE harvest &amp; marketing cost per lb ($).</t>
  </si>
  <si>
    <t xml:space="preserve"> per lb ($)</t>
  </si>
  <si>
    <t>Opt.</t>
  </si>
  <si>
    <t>UGA, Ag and Applied Econ Dept., UGA Horticulture Dept., and Ext Coordinator, Lee Co.</t>
  </si>
  <si>
    <t>1000 Lbs</t>
  </si>
  <si>
    <t>1st. Year Estimated Establishment And Maintenance</t>
  </si>
  <si>
    <t>2/-  No. of trees depend on planting distances, i.e. 40 x 40 fts = 27 trees; 50 x 25 = 35 trees; 40 x 20 = 55 trees; 60 x 30 = 24 trees</t>
  </si>
  <si>
    <t>TOTAL COSTS (TC)</t>
  </si>
  <si>
    <t>TOTAL FIXED COSTS (TFC)</t>
  </si>
  <si>
    <t>GROWERS ARE EXPECTED TO INPUT THEIR ACTUAL DATA HERE</t>
  </si>
  <si>
    <t>TOTAL FIXED COSTS ($)</t>
  </si>
  <si>
    <t>FIXED COSTS per ACRE ($)</t>
  </si>
  <si>
    <t>Tractor (Hp 120)</t>
  </si>
  <si>
    <t>Tractor (Hp 90)</t>
  </si>
  <si>
    <t xml:space="preserve"> Sprayer,herbicide*</t>
  </si>
  <si>
    <t>$/Lb</t>
  </si>
  <si>
    <t>of Profit</t>
  </si>
  <si>
    <t>%Chance</t>
  </si>
  <si>
    <t xml:space="preserve">                         BASE BUDGETED NET REVENUE  ($) =</t>
  </si>
  <si>
    <t>EXAMPLE OF CHEMICALS FOR PECANS</t>
  </si>
  <si>
    <t xml:space="preserve">                                                                      'ESTIMATING MACHINERY OPERATING COSTS FOR PECANS</t>
  </si>
  <si>
    <t>THIS BUDGET IS INTERACTIVE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</si>
  <si>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</si>
  <si>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</si>
  <si>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</si>
  <si>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</si>
  <si>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Sensitivity Analysis and Returns for Price and Yield over Total Cost </t>
  </si>
  <si>
    <t>PECANS - 2020</t>
  </si>
  <si>
    <t>Cost Per Acre For Georgia Pecans</t>
  </si>
  <si>
    <t xml:space="preserve">2nd Through 4th Years, Georgia Pecans </t>
  </si>
  <si>
    <t>5th Through 7th Years, Georgia Pecans</t>
  </si>
  <si>
    <t xml:space="preserve">ESTIMATED TOTAL ANNUAL FIXED MACHINERY COSTS FOR PECANS </t>
  </si>
  <si>
    <t xml:space="preserve">DRIP IRRIGATION FOR PECANS </t>
  </si>
  <si>
    <t xml:space="preserve">2020 PECAN BUDGET -  HIGH INPUT GROWERS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</si>
</sst>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1"/>
      </left>
      <right>
        <color indexed="11"/>
      </right>
      <top style="double">
        <color indexed="11"/>
      </top>
      <bottom>
        <color indexed="11"/>
      </bottom>
    </border>
    <border>
      <left>
        <color indexed="11"/>
      </left>
      <right>
        <color indexed="11"/>
      </right>
      <top style="double">
        <color indexed="11"/>
      </top>
      <bottom>
        <color indexed="11"/>
      </bottom>
    </border>
    <border>
      <left>
        <color indexed="11"/>
      </left>
      <right style="double">
        <color indexed="11"/>
      </right>
      <top style="double">
        <color indexed="11"/>
      </top>
      <bottom>
        <color indexed="11"/>
      </bottom>
    </border>
    <border>
      <left style="double">
        <color indexed="11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double">
        <color indexed="11"/>
      </right>
      <top>
        <color indexed="11"/>
      </top>
      <bottom>
        <color indexed="11"/>
      </bottom>
    </border>
    <border>
      <left style="double">
        <color indexed="11"/>
      </left>
      <right>
        <color indexed="11"/>
      </right>
      <top>
        <color indexed="11"/>
      </top>
      <bottom style="double">
        <color indexed="11"/>
      </bottom>
    </border>
    <border>
      <left>
        <color indexed="11"/>
      </left>
      <right>
        <color indexed="11"/>
      </right>
      <top>
        <color indexed="11"/>
      </top>
      <bottom style="double">
        <color indexed="11"/>
      </bottom>
    </border>
    <border>
      <left>
        <color indexed="11"/>
      </left>
      <right style="double">
        <color indexed="11"/>
      </right>
      <top>
        <color indexed="11"/>
      </top>
      <bottom style="double">
        <color indexed="1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5" fillId="2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0" fontId="7" fillId="34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50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51" fillId="2" borderId="10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8" fontId="0" fillId="2" borderId="10" xfId="0" applyNumberFormat="1" applyFill="1" applyBorder="1" applyAlignment="1">
      <alignment/>
    </xf>
    <xf numFmtId="9" fontId="0" fillId="2" borderId="10" xfId="0" applyNumberFormat="1" applyFill="1" applyBorder="1" applyAlignment="1">
      <alignment/>
    </xf>
    <xf numFmtId="2" fontId="50" fillId="2" borderId="10" xfId="0" applyNumberFormat="1" applyFont="1" applyFill="1" applyBorder="1" applyAlignment="1">
      <alignment/>
    </xf>
    <xf numFmtId="8" fontId="0" fillId="2" borderId="10" xfId="0" applyNumberFormat="1" applyFont="1" applyFill="1" applyBorder="1" applyAlignment="1">
      <alignment/>
    </xf>
    <xf numFmtId="9" fontId="50" fillId="2" borderId="10" xfId="0" applyNumberFormat="1" applyFont="1" applyFill="1" applyBorder="1" applyAlignment="1">
      <alignment/>
    </xf>
    <xf numFmtId="8" fontId="50" fillId="2" borderId="1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50" fillId="2" borderId="0" xfId="0" applyNumberFormat="1" applyFont="1" applyFill="1" applyBorder="1" applyAlignment="1">
      <alignment horizontal="center"/>
    </xf>
    <xf numFmtId="1" fontId="51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0" fontId="52" fillId="2" borderId="0" xfId="0" applyFont="1" applyFill="1" applyBorder="1" applyAlignment="1">
      <alignment horizontal="center"/>
    </xf>
    <xf numFmtId="3" fontId="51" fillId="2" borderId="0" xfId="0" applyNumberFormat="1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52" fillId="2" borderId="0" xfId="0" applyNumberFormat="1" applyFont="1" applyFill="1" applyBorder="1" applyAlignment="1">
      <alignment horizontal="center"/>
    </xf>
    <xf numFmtId="0" fontId="51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51" fillId="2" borderId="0" xfId="0" applyFont="1" applyFill="1" applyBorder="1" applyAlignment="1">
      <alignment/>
    </xf>
    <xf numFmtId="2" fontId="3" fillId="2" borderId="14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right"/>
    </xf>
    <xf numFmtId="1" fontId="3" fillId="2" borderId="14" xfId="0" applyNumberFormat="1" applyFont="1" applyFill="1" applyBorder="1" applyAlignment="1">
      <alignment horizontal="right"/>
    </xf>
    <xf numFmtId="1" fontId="0" fillId="2" borderId="14" xfId="0" applyNumberFormat="1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9" fontId="3" fillId="2" borderId="14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/>
    </xf>
    <xf numFmtId="0" fontId="0" fillId="2" borderId="17" xfId="0" applyFill="1" applyBorder="1" applyAlignment="1">
      <alignment horizontal="centerContinuous"/>
    </xf>
    <xf numFmtId="0" fontId="30" fillId="2" borderId="18" xfId="0" applyFont="1" applyFill="1" applyBorder="1" applyAlignment="1">
      <alignment horizontal="centerContinuous"/>
    </xf>
    <xf numFmtId="0" fontId="30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30" fillId="2" borderId="0" xfId="0" applyFont="1" applyFill="1" applyAlignment="1">
      <alignment horizontal="centerContinuous"/>
    </xf>
    <xf numFmtId="0" fontId="30" fillId="2" borderId="21" xfId="0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30" fillId="2" borderId="23" xfId="0" applyFont="1" applyFill="1" applyBorder="1" applyAlignment="1">
      <alignment horizontal="centerContinuous"/>
    </xf>
    <xf numFmtId="0" fontId="30" fillId="2" borderId="24" xfId="0" applyFont="1" applyFill="1" applyBorder="1" applyAlignment="1">
      <alignment horizontal="centerContinuous"/>
    </xf>
    <xf numFmtId="0" fontId="53" fillId="2" borderId="0" xfId="0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126</xdr:row>
      <xdr:rowOff>0</xdr:rowOff>
    </xdr:from>
    <xdr:to>
      <xdr:col>9</xdr:col>
      <xdr:colOff>381000</xdr:colOff>
      <xdr:row>129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19646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0</xdr:rowOff>
    </xdr:from>
    <xdr:to>
      <xdr:col>7</xdr:col>
      <xdr:colOff>428625</xdr:colOff>
      <xdr:row>43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6103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</xdr:row>
      <xdr:rowOff>0</xdr:rowOff>
    </xdr:from>
    <xdr:to>
      <xdr:col>7</xdr:col>
      <xdr:colOff>228600</xdr:colOff>
      <xdr:row>39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9626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180975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1245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38</xdr:row>
      <xdr:rowOff>0</xdr:rowOff>
    </xdr:from>
    <xdr:to>
      <xdr:col>7</xdr:col>
      <xdr:colOff>466725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2674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40</xdr:row>
      <xdr:rowOff>0</xdr:rowOff>
    </xdr:from>
    <xdr:to>
      <xdr:col>9</xdr:col>
      <xdr:colOff>28575</xdr:colOff>
      <xdr:row>43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6572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3915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32</xdr:row>
      <xdr:rowOff>0</xdr:rowOff>
    </xdr:from>
    <xdr:to>
      <xdr:col>7</xdr:col>
      <xdr:colOff>295275</xdr:colOff>
      <xdr:row>35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219700"/>
          <a:ext cx="2295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Q361"/>
  <sheetViews>
    <sheetView tabSelected="1" zoomScalePageLayoutView="0" workbookViewId="0" topLeftCell="A1">
      <selection activeCell="F63" sqref="F63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8.7109375" style="1" customWidth="1"/>
    <col min="4" max="4" width="8.421875" style="1" customWidth="1"/>
    <col min="5" max="5" width="8.7109375" style="1" customWidth="1"/>
    <col min="6" max="6" width="10.421875" style="1" customWidth="1"/>
    <col min="7" max="7" width="9.140625" style="1" customWidth="1"/>
    <col min="8" max="8" width="10.421875" style="1" customWidth="1"/>
    <col min="9" max="9" width="9.00390625" style="1" customWidth="1"/>
    <col min="10" max="10" width="11.7109375" style="1" customWidth="1"/>
    <col min="11" max="11" width="7.28125" style="1" customWidth="1"/>
    <col min="12" max="12" width="11.7109375" style="1" customWidth="1"/>
    <col min="13" max="17" width="9.140625" style="1" customWidth="1"/>
    <col min="18" max="19" width="7.7109375" style="1" customWidth="1"/>
    <col min="20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1" spans="1:11" s="135" customFormat="1" ht="15.75">
      <c r="A1" s="132" t="s">
        <v>334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133" customFormat="1" ht="15">
      <c r="A2" s="134" t="s">
        <v>200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33" customFormat="1" ht="15">
      <c r="A3" s="134" t="s">
        <v>304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4:11" s="135" customFormat="1" ht="15.75">
      <c r="D4" s="136"/>
      <c r="E4" s="136"/>
      <c r="F4" s="136"/>
      <c r="G4" s="136"/>
      <c r="H4" s="136"/>
      <c r="I4" s="136"/>
      <c r="J4" s="136"/>
      <c r="K4" s="135" t="s">
        <v>0</v>
      </c>
    </row>
    <row r="5" spans="1:11" s="78" customFormat="1" ht="16.5" customHeight="1">
      <c r="A5" s="151" t="s">
        <v>322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="78" customFormat="1" ht="12.75">
      <c r="A6" s="78" t="s">
        <v>2</v>
      </c>
    </row>
    <row r="7" spans="1:11" s="78" customFormat="1" ht="12.75" customHeight="1">
      <c r="A7" s="81" t="s">
        <v>328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="78" customFormat="1" ht="15" customHeight="1"/>
    <row r="9" spans="5:18" s="78" customFormat="1" ht="15" customHeight="1">
      <c r="E9" s="78" t="s">
        <v>258</v>
      </c>
      <c r="K9" s="78" t="s">
        <v>0</v>
      </c>
      <c r="N9" s="82"/>
      <c r="O9" s="82"/>
      <c r="P9" s="83"/>
      <c r="Q9" s="82"/>
      <c r="R9" s="82"/>
    </row>
    <row r="10" spans="5:11" s="78" customFormat="1" ht="15" customHeight="1">
      <c r="E10" s="78" t="s">
        <v>4</v>
      </c>
      <c r="I10" s="84">
        <v>1</v>
      </c>
      <c r="K10" s="78" t="s">
        <v>2</v>
      </c>
    </row>
    <row r="11" spans="4:11" s="78" customFormat="1" ht="15" customHeight="1">
      <c r="D11" s="78" t="s">
        <v>165</v>
      </c>
      <c r="I11" s="84">
        <v>1</v>
      </c>
      <c r="K11" s="78" t="s">
        <v>0</v>
      </c>
    </row>
    <row r="12" s="78" customFormat="1" ht="15" customHeight="1">
      <c r="K12" s="78" t="s">
        <v>0</v>
      </c>
    </row>
    <row r="13" spans="2:11" s="78" customFormat="1" ht="15" customHeight="1">
      <c r="B13" s="80"/>
      <c r="C13" s="80"/>
      <c r="D13" s="80"/>
      <c r="E13" s="85" t="s">
        <v>107</v>
      </c>
      <c r="F13" s="86" t="s">
        <v>303</v>
      </c>
      <c r="G13" s="85" t="s">
        <v>179</v>
      </c>
      <c r="H13" s="83" t="s">
        <v>193</v>
      </c>
      <c r="I13" s="83" t="s">
        <v>263</v>
      </c>
      <c r="J13" s="79" t="s">
        <v>0</v>
      </c>
      <c r="K13" s="78" t="s">
        <v>0</v>
      </c>
    </row>
    <row r="14" spans="5:11" s="78" customFormat="1" ht="15" customHeight="1">
      <c r="E14" s="87"/>
      <c r="F14" s="87"/>
      <c r="G14" s="87"/>
      <c r="H14" s="87"/>
      <c r="I14" s="87"/>
      <c r="K14" s="78" t="s">
        <v>0</v>
      </c>
    </row>
    <row r="15" spans="2:11" s="78" customFormat="1" ht="15" customHeight="1">
      <c r="B15" s="78" t="s">
        <v>81</v>
      </c>
      <c r="E15" s="88">
        <v>1700</v>
      </c>
      <c r="F15" s="88">
        <v>1400</v>
      </c>
      <c r="G15" s="89">
        <v>1200</v>
      </c>
      <c r="H15" s="88">
        <v>700</v>
      </c>
      <c r="I15" s="88">
        <v>400</v>
      </c>
      <c r="K15" s="78" t="s">
        <v>0</v>
      </c>
    </row>
    <row r="16" spans="2:11" s="78" customFormat="1" ht="15" customHeight="1">
      <c r="B16" s="78" t="s">
        <v>79</v>
      </c>
      <c r="E16" s="82">
        <v>2.6</v>
      </c>
      <c r="F16" s="82">
        <v>2.3</v>
      </c>
      <c r="G16" s="83">
        <v>2</v>
      </c>
      <c r="H16" s="82">
        <v>1.7</v>
      </c>
      <c r="I16" s="82">
        <v>1.4</v>
      </c>
      <c r="K16" s="78" t="s">
        <v>0</v>
      </c>
    </row>
    <row r="17" spans="11:19" s="78" customFormat="1" ht="15" customHeight="1">
      <c r="K17" s="78" t="s">
        <v>0</v>
      </c>
      <c r="S17" s="78" t="s">
        <v>0</v>
      </c>
    </row>
    <row r="18" spans="2:11" s="78" customFormat="1" ht="15" customHeight="1">
      <c r="B18" s="85" t="s">
        <v>166</v>
      </c>
      <c r="C18" s="85"/>
      <c r="D18" s="85"/>
      <c r="E18" s="85"/>
      <c r="F18" s="85" t="s">
        <v>252</v>
      </c>
      <c r="G18" s="85" t="s">
        <v>206</v>
      </c>
      <c r="H18" s="83" t="s">
        <v>201</v>
      </c>
      <c r="I18" s="90" t="s">
        <v>68</v>
      </c>
      <c r="J18" s="91" t="s">
        <v>231</v>
      </c>
      <c r="K18" s="78" t="s">
        <v>0</v>
      </c>
    </row>
    <row r="19" s="78" customFormat="1" ht="15" customHeight="1">
      <c r="K19" s="78" t="s">
        <v>0</v>
      </c>
    </row>
    <row r="20" spans="2:9" s="78" customFormat="1" ht="15" customHeight="1">
      <c r="B20" s="78" t="s">
        <v>259</v>
      </c>
      <c r="I20" s="92" t="s">
        <v>0</v>
      </c>
    </row>
    <row r="21" spans="3:11" s="78" customFormat="1" ht="15" customHeight="1">
      <c r="C21" s="78" t="s">
        <v>175</v>
      </c>
      <c r="F21" s="87" t="s">
        <v>230</v>
      </c>
      <c r="G21" s="93">
        <v>0.5</v>
      </c>
      <c r="H21" s="93">
        <v>30</v>
      </c>
      <c r="I21" s="93">
        <f aca="true" t="shared" si="0" ref="I21:I35">G21*H21</f>
        <v>15</v>
      </c>
      <c r="J21" s="93">
        <f>I21*I10</f>
        <v>15</v>
      </c>
      <c r="K21" s="87"/>
    </row>
    <row r="22" spans="3:11" s="78" customFormat="1" ht="15" customHeight="1">
      <c r="C22" s="78" t="s">
        <v>181</v>
      </c>
      <c r="F22" s="87" t="s">
        <v>171</v>
      </c>
      <c r="G22" s="93">
        <v>150</v>
      </c>
      <c r="H22" s="94">
        <v>0.49</v>
      </c>
      <c r="I22" s="93">
        <f t="shared" si="0"/>
        <v>73.5</v>
      </c>
      <c r="J22" s="93">
        <f>I22*I10</f>
        <v>73.5</v>
      </c>
      <c r="K22" s="87" t="s">
        <v>0</v>
      </c>
    </row>
    <row r="23" spans="3:11" s="78" customFormat="1" ht="15" customHeight="1">
      <c r="C23" s="78" t="s">
        <v>194</v>
      </c>
      <c r="F23" s="87" t="s">
        <v>171</v>
      </c>
      <c r="G23" s="93">
        <v>40</v>
      </c>
      <c r="H23" s="94">
        <v>0.51</v>
      </c>
      <c r="I23" s="93">
        <f t="shared" si="0"/>
        <v>20.4</v>
      </c>
      <c r="J23" s="93">
        <f>I23*I$11</f>
        <v>20.4</v>
      </c>
      <c r="K23" s="87"/>
    </row>
    <row r="24" spans="3:11" s="78" customFormat="1" ht="15" customHeight="1">
      <c r="C24" s="78" t="s">
        <v>196</v>
      </c>
      <c r="F24" s="87" t="s">
        <v>171</v>
      </c>
      <c r="G24" s="93">
        <v>60</v>
      </c>
      <c r="H24" s="94">
        <v>0.39</v>
      </c>
      <c r="I24" s="93">
        <f t="shared" si="0"/>
        <v>23.400000000000002</v>
      </c>
      <c r="J24" s="93">
        <f>I24*I$11</f>
        <v>23.400000000000002</v>
      </c>
      <c r="K24" s="87"/>
    </row>
    <row r="25" spans="3:11" s="78" customFormat="1" ht="15" customHeight="1">
      <c r="C25" s="78" t="s">
        <v>271</v>
      </c>
      <c r="F25" s="87" t="s">
        <v>171</v>
      </c>
      <c r="G25" s="93">
        <v>0</v>
      </c>
      <c r="H25" s="94">
        <v>0.5</v>
      </c>
      <c r="I25" s="93">
        <f t="shared" si="0"/>
        <v>0</v>
      </c>
      <c r="J25" s="93">
        <f>I25*I$11</f>
        <v>0</v>
      </c>
      <c r="K25" s="87"/>
    </row>
    <row r="26" spans="3:11" s="78" customFormat="1" ht="15" customHeight="1">
      <c r="C26" s="78" t="s">
        <v>136</v>
      </c>
      <c r="F26" s="87" t="s">
        <v>103</v>
      </c>
      <c r="G26" s="93">
        <v>3</v>
      </c>
      <c r="H26" s="93">
        <v>2</v>
      </c>
      <c r="I26" s="93">
        <f t="shared" si="0"/>
        <v>6</v>
      </c>
      <c r="J26" s="93">
        <f>I26*I$11</f>
        <v>6</v>
      </c>
      <c r="K26" s="87"/>
    </row>
    <row r="27" spans="3:11" s="78" customFormat="1" ht="15" customHeight="1">
      <c r="C27" s="78" t="s">
        <v>135</v>
      </c>
      <c r="F27" s="87" t="s">
        <v>103</v>
      </c>
      <c r="G27" s="93">
        <v>2</v>
      </c>
      <c r="H27" s="93">
        <v>1.3</v>
      </c>
      <c r="I27" s="93">
        <f t="shared" si="0"/>
        <v>2.6</v>
      </c>
      <c r="J27" s="93">
        <f>I27*I$11</f>
        <v>2.6</v>
      </c>
      <c r="K27" s="87"/>
    </row>
    <row r="28" spans="3:11" s="78" customFormat="1" ht="15" customHeight="1">
      <c r="C28" s="78" t="s">
        <v>140</v>
      </c>
      <c r="F28" s="87" t="s">
        <v>103</v>
      </c>
      <c r="G28" s="93">
        <v>10</v>
      </c>
      <c r="H28" s="93">
        <v>12</v>
      </c>
      <c r="I28" s="93">
        <f t="shared" si="0"/>
        <v>120</v>
      </c>
      <c r="J28" s="93">
        <f>I28*I10</f>
        <v>120</v>
      </c>
      <c r="K28" s="87"/>
    </row>
    <row r="29" spans="3:11" s="78" customFormat="1" ht="15" customHeight="1">
      <c r="C29" s="78" t="s">
        <v>149</v>
      </c>
      <c r="F29" s="87" t="s">
        <v>103</v>
      </c>
      <c r="G29" s="93">
        <v>3</v>
      </c>
      <c r="H29" s="93">
        <v>29</v>
      </c>
      <c r="I29" s="93">
        <f t="shared" si="0"/>
        <v>87</v>
      </c>
      <c r="J29" s="93">
        <f>I29*I$11</f>
        <v>87</v>
      </c>
      <c r="K29" s="87"/>
    </row>
    <row r="30" spans="3:11" s="78" customFormat="1" ht="15" customHeight="1">
      <c r="C30" s="78" t="s">
        <v>273</v>
      </c>
      <c r="F30" s="87" t="s">
        <v>103</v>
      </c>
      <c r="G30" s="93">
        <v>4</v>
      </c>
      <c r="H30" s="93">
        <v>25</v>
      </c>
      <c r="I30" s="93">
        <f t="shared" si="0"/>
        <v>100</v>
      </c>
      <c r="J30" s="93">
        <f>I30*I$11</f>
        <v>100</v>
      </c>
      <c r="K30" s="87"/>
    </row>
    <row r="31" spans="3:11" s="78" customFormat="1" ht="15" customHeight="1">
      <c r="C31" s="78" t="s">
        <v>168</v>
      </c>
      <c r="F31" s="87" t="s">
        <v>151</v>
      </c>
      <c r="G31" s="93">
        <v>25</v>
      </c>
      <c r="H31" s="93">
        <v>10</v>
      </c>
      <c r="I31" s="93">
        <f t="shared" si="0"/>
        <v>250</v>
      </c>
      <c r="J31" s="93">
        <f>I31*I$11</f>
        <v>250</v>
      </c>
      <c r="K31" s="87"/>
    </row>
    <row r="32" spans="3:11" s="78" customFormat="1" ht="15" customHeight="1">
      <c r="C32" s="78" t="s">
        <v>276</v>
      </c>
      <c r="F32" s="87" t="s">
        <v>141</v>
      </c>
      <c r="G32" s="93">
        <v>52</v>
      </c>
      <c r="H32" s="93">
        <v>2.5</v>
      </c>
      <c r="I32" s="93">
        <f t="shared" si="0"/>
        <v>130</v>
      </c>
      <c r="J32" s="93">
        <f>I32*I10</f>
        <v>130</v>
      </c>
      <c r="K32" s="87"/>
    </row>
    <row r="33" spans="3:11" s="78" customFormat="1" ht="15" customHeight="1">
      <c r="C33" s="78" t="s">
        <v>59</v>
      </c>
      <c r="F33" s="87" t="s">
        <v>93</v>
      </c>
      <c r="G33" s="93">
        <v>1</v>
      </c>
      <c r="H33" s="93">
        <v>50</v>
      </c>
      <c r="I33" s="93">
        <f t="shared" si="0"/>
        <v>50</v>
      </c>
      <c r="J33" s="93">
        <f>I33*I10</f>
        <v>50</v>
      </c>
      <c r="K33" s="87"/>
    </row>
    <row r="34" spans="3:11" s="78" customFormat="1" ht="15" customHeight="1">
      <c r="C34" s="78" t="s">
        <v>274</v>
      </c>
      <c r="F34" s="87" t="s">
        <v>93</v>
      </c>
      <c r="G34" s="93">
        <v>1</v>
      </c>
      <c r="H34" s="93">
        <v>0</v>
      </c>
      <c r="I34" s="93">
        <f t="shared" si="0"/>
        <v>0</v>
      </c>
      <c r="J34" s="93">
        <f>I34*I10</f>
        <v>0</v>
      </c>
      <c r="K34" s="87"/>
    </row>
    <row r="35" spans="3:11" s="78" customFormat="1" ht="15" customHeight="1">
      <c r="C35" s="78" t="s">
        <v>277</v>
      </c>
      <c r="F35" s="87" t="s">
        <v>93</v>
      </c>
      <c r="G35" s="93">
        <v>1</v>
      </c>
      <c r="H35" s="93">
        <v>100</v>
      </c>
      <c r="I35" s="93">
        <f t="shared" si="0"/>
        <v>100</v>
      </c>
      <c r="J35" s="93">
        <f>I35*I10</f>
        <v>100</v>
      </c>
      <c r="K35" s="95" t="s">
        <v>0</v>
      </c>
    </row>
    <row r="36" spans="3:11" s="78" customFormat="1" ht="15" customHeight="1">
      <c r="C36" s="78" t="s">
        <v>161</v>
      </c>
      <c r="F36" s="87" t="s">
        <v>67</v>
      </c>
      <c r="G36" s="93">
        <f>SUM(I21:I34)</f>
        <v>877.9</v>
      </c>
      <c r="H36" s="93">
        <v>0.065</v>
      </c>
      <c r="I36" s="93">
        <f>G36*H36/2</f>
        <v>28.53175</v>
      </c>
      <c r="J36" s="93">
        <f>I36*I10</f>
        <v>28.53175</v>
      </c>
      <c r="K36" s="87" t="s">
        <v>0</v>
      </c>
    </row>
    <row r="37" spans="2:11" s="78" customFormat="1" ht="15" customHeight="1">
      <c r="B37" s="80" t="s">
        <v>199</v>
      </c>
      <c r="F37" s="87"/>
      <c r="G37" s="87"/>
      <c r="H37" s="87"/>
      <c r="I37" s="122">
        <f>SUM(I20:I35)</f>
        <v>977.9</v>
      </c>
      <c r="J37" s="123">
        <f>I37*I10</f>
        <v>977.9</v>
      </c>
      <c r="K37" s="95" t="s">
        <v>0</v>
      </c>
    </row>
    <row r="38" s="78" customFormat="1" ht="15" customHeight="1">
      <c r="K38" s="95" t="s">
        <v>0</v>
      </c>
    </row>
    <row r="39" spans="2:11" s="78" customFormat="1" ht="15" customHeight="1">
      <c r="B39" s="96" t="s">
        <v>144</v>
      </c>
      <c r="C39" s="97"/>
      <c r="D39" s="97"/>
      <c r="E39" s="97"/>
      <c r="F39" s="85" t="s">
        <v>252</v>
      </c>
      <c r="G39" s="85" t="s">
        <v>206</v>
      </c>
      <c r="H39" s="83" t="s">
        <v>201</v>
      </c>
      <c r="I39" s="90" t="s">
        <v>68</v>
      </c>
      <c r="J39" s="91" t="s">
        <v>231</v>
      </c>
      <c r="K39" s="95" t="s">
        <v>0</v>
      </c>
    </row>
    <row r="40" spans="2:11" s="78" customFormat="1" ht="15" customHeight="1">
      <c r="B40" s="97"/>
      <c r="C40" s="97" t="s">
        <v>146</v>
      </c>
      <c r="D40" s="97"/>
      <c r="E40" s="97"/>
      <c r="F40" s="98" t="s">
        <v>93</v>
      </c>
      <c r="G40" s="99">
        <v>1</v>
      </c>
      <c r="H40" s="99">
        <v>140</v>
      </c>
      <c r="I40" s="99">
        <f>G40*H40</f>
        <v>140</v>
      </c>
      <c r="J40" s="100">
        <f>I40*I10</f>
        <v>140</v>
      </c>
      <c r="K40" s="95" t="s">
        <v>0</v>
      </c>
    </row>
    <row r="41" spans="2:11" s="78" customFormat="1" ht="15" customHeight="1">
      <c r="B41" s="97"/>
      <c r="C41" s="97" t="s">
        <v>116</v>
      </c>
      <c r="D41" s="97"/>
      <c r="E41" s="97"/>
      <c r="F41" s="98" t="s">
        <v>171</v>
      </c>
      <c r="G41" s="101">
        <f>MEDY</f>
        <v>1200</v>
      </c>
      <c r="H41" s="99">
        <v>0.12</v>
      </c>
      <c r="I41" s="99">
        <f>H41*G41</f>
        <v>144</v>
      </c>
      <c r="J41" s="100">
        <f>I41*I10</f>
        <v>144</v>
      </c>
      <c r="K41" s="95" t="s">
        <v>0</v>
      </c>
    </row>
    <row r="42" spans="2:11" s="78" customFormat="1" ht="15" customHeight="1">
      <c r="B42" s="97"/>
      <c r="C42" s="97" t="s">
        <v>168</v>
      </c>
      <c r="D42" s="97"/>
      <c r="E42" s="97"/>
      <c r="F42" s="98" t="s">
        <v>151</v>
      </c>
      <c r="G42" s="99">
        <v>4</v>
      </c>
      <c r="H42" s="99">
        <f>H31</f>
        <v>10</v>
      </c>
      <c r="I42" s="99">
        <f>G42*H42</f>
        <v>40</v>
      </c>
      <c r="J42" s="100">
        <f>I42*I10</f>
        <v>40</v>
      </c>
      <c r="K42" s="95" t="s">
        <v>0</v>
      </c>
    </row>
    <row r="43" spans="2:11" s="78" customFormat="1" ht="15" customHeight="1">
      <c r="B43" s="97"/>
      <c r="C43" s="97" t="s">
        <v>110</v>
      </c>
      <c r="D43" s="97"/>
      <c r="E43" s="97"/>
      <c r="F43" s="98" t="s">
        <v>171</v>
      </c>
      <c r="G43" s="101">
        <f>MEDY</f>
        <v>1200</v>
      </c>
      <c r="H43" s="99">
        <v>0.02</v>
      </c>
      <c r="I43" s="99">
        <f>G43*H43</f>
        <v>24</v>
      </c>
      <c r="J43" s="100">
        <f>I43*I10</f>
        <v>24</v>
      </c>
      <c r="K43" s="87"/>
    </row>
    <row r="44" spans="2:11" s="78" customFormat="1" ht="15" customHeight="1">
      <c r="B44" s="97"/>
      <c r="C44" s="97" t="s">
        <v>287</v>
      </c>
      <c r="D44" s="97"/>
      <c r="E44" s="97"/>
      <c r="F44" s="98" t="s">
        <v>171</v>
      </c>
      <c r="G44" s="101">
        <f>MEDY</f>
        <v>1200</v>
      </c>
      <c r="H44" s="99">
        <v>0.03</v>
      </c>
      <c r="I44" s="99">
        <f>G44*H44</f>
        <v>36</v>
      </c>
      <c r="J44" s="100">
        <f>I44*I11</f>
        <v>36</v>
      </c>
      <c r="K44" s="87"/>
    </row>
    <row r="45" spans="2:11" s="78" customFormat="1" ht="15" customHeight="1">
      <c r="B45" s="97"/>
      <c r="C45" s="97" t="s">
        <v>297</v>
      </c>
      <c r="D45" s="97"/>
      <c r="E45" s="97"/>
      <c r="F45" s="98" t="s">
        <v>171</v>
      </c>
      <c r="G45" s="101">
        <v>1000</v>
      </c>
      <c r="H45" s="101">
        <v>0.01</v>
      </c>
      <c r="I45" s="101">
        <f>G45*H45</f>
        <v>10</v>
      </c>
      <c r="J45" s="100">
        <f>I45*I11</f>
        <v>10</v>
      </c>
      <c r="K45" s="95" t="s">
        <v>0</v>
      </c>
    </row>
    <row r="46" spans="2:11" s="78" customFormat="1" ht="15" customHeight="1">
      <c r="B46" s="96" t="s">
        <v>239</v>
      </c>
      <c r="C46" s="97"/>
      <c r="D46" s="97"/>
      <c r="E46" s="97"/>
      <c r="F46" s="98"/>
      <c r="G46" s="98"/>
      <c r="H46" s="97"/>
      <c r="I46" s="124">
        <f>SUM(I40:I45)</f>
        <v>394</v>
      </c>
      <c r="J46" s="127">
        <f>SUM(J40:J45)</f>
        <v>394</v>
      </c>
      <c r="K46" s="95" t="s">
        <v>0</v>
      </c>
    </row>
    <row r="47" spans="2:11" s="78" customFormat="1" ht="15" customHeight="1" thickBot="1">
      <c r="B47" s="80" t="s">
        <v>246</v>
      </c>
      <c r="F47" s="87"/>
      <c r="G47" s="87"/>
      <c r="H47" s="87"/>
      <c r="I47" s="121">
        <f>I37+I46</f>
        <v>1371.9</v>
      </c>
      <c r="J47" s="128">
        <f>I47*I10</f>
        <v>1371.9</v>
      </c>
      <c r="K47" s="87"/>
    </row>
    <row r="48" spans="6:11" s="78" customFormat="1" ht="13.5" thickTop="1">
      <c r="F48" s="87"/>
      <c r="G48" s="87"/>
      <c r="H48" s="87"/>
      <c r="I48" s="87"/>
      <c r="J48" s="87"/>
      <c r="K48" s="95" t="s">
        <v>0</v>
      </c>
    </row>
    <row r="49" spans="6:11" s="78" customFormat="1" ht="12.75">
      <c r="F49" s="87"/>
      <c r="G49" s="87"/>
      <c r="H49" s="87"/>
      <c r="I49" s="87"/>
      <c r="J49" s="87"/>
      <c r="K49" s="95"/>
    </row>
    <row r="50" spans="6:11" s="78" customFormat="1" ht="12.75">
      <c r="F50" s="87"/>
      <c r="G50" s="87"/>
      <c r="H50" s="87"/>
      <c r="I50" s="87"/>
      <c r="J50" s="87"/>
      <c r="K50" s="95"/>
    </row>
    <row r="51" spans="6:40" s="78" customFormat="1" ht="12.75">
      <c r="F51" s="87"/>
      <c r="G51" s="87"/>
      <c r="H51" s="87"/>
      <c r="I51" s="87"/>
      <c r="J51" s="87"/>
      <c r="K51" s="95"/>
      <c r="AN51" s="78" t="s">
        <v>117</v>
      </c>
    </row>
    <row r="52" spans="2:11" s="78" customFormat="1" ht="12.75">
      <c r="B52" s="80" t="s">
        <v>133</v>
      </c>
      <c r="C52" s="80"/>
      <c r="F52" s="85" t="s">
        <v>252</v>
      </c>
      <c r="G52" s="85" t="s">
        <v>206</v>
      </c>
      <c r="H52" s="83" t="s">
        <v>201</v>
      </c>
      <c r="I52" s="90" t="s">
        <v>68</v>
      </c>
      <c r="J52" s="91" t="s">
        <v>231</v>
      </c>
      <c r="K52" s="87"/>
    </row>
    <row r="53" spans="3:11" s="78" customFormat="1" ht="12.75">
      <c r="C53" s="78" t="s">
        <v>247</v>
      </c>
      <c r="F53" s="87" t="s">
        <v>93</v>
      </c>
      <c r="G53" s="82">
        <v>1</v>
      </c>
      <c r="H53" s="82">
        <f>FxdCost!I34</f>
        <v>279.197875</v>
      </c>
      <c r="I53" s="82">
        <f>G53*H53</f>
        <v>279.197875</v>
      </c>
      <c r="J53" s="102">
        <f>I10*I53</f>
        <v>279.197875</v>
      </c>
      <c r="K53" s="95" t="s">
        <v>0</v>
      </c>
    </row>
    <row r="54" spans="3:11" s="78" customFormat="1" ht="12.75">
      <c r="C54" s="78" t="s">
        <v>164</v>
      </c>
      <c r="F54" s="87" t="s">
        <v>93</v>
      </c>
      <c r="G54" s="82">
        <v>1</v>
      </c>
      <c r="H54" s="82">
        <f>+Drip!I48</f>
        <v>47.20379833333333</v>
      </c>
      <c r="I54" s="82">
        <f>G54*H54</f>
        <v>47.20379833333333</v>
      </c>
      <c r="J54" s="102">
        <f>I10*I54</f>
        <v>47.20379833333333</v>
      </c>
      <c r="K54" s="87"/>
    </row>
    <row r="55" spans="3:11" s="78" customFormat="1" ht="12.75">
      <c r="C55" s="78" t="s">
        <v>189</v>
      </c>
      <c r="F55" s="87" t="s">
        <v>93</v>
      </c>
      <c r="G55" s="84">
        <f>I37</f>
        <v>977.9</v>
      </c>
      <c r="H55" s="82">
        <v>0.15</v>
      </c>
      <c r="I55" s="82">
        <f>G55*H55</f>
        <v>146.685</v>
      </c>
      <c r="J55" s="102">
        <f>I10*I55</f>
        <v>146.685</v>
      </c>
      <c r="K55" s="87"/>
    </row>
    <row r="56" spans="2:11" s="78" customFormat="1" ht="13.5" thickBot="1">
      <c r="B56" s="80" t="s">
        <v>298</v>
      </c>
      <c r="F56" s="87" t="s">
        <v>93</v>
      </c>
      <c r="G56" s="87"/>
      <c r="H56" s="87"/>
      <c r="I56" s="120">
        <f>SUM(I53:I55)</f>
        <v>473.08667333333335</v>
      </c>
      <c r="J56" s="125">
        <f>I10*I56</f>
        <v>473.08667333333335</v>
      </c>
      <c r="K56" s="87"/>
    </row>
    <row r="57" spans="7:11" s="78" customFormat="1" ht="13.5" thickTop="1">
      <c r="G57" s="87"/>
      <c r="H57" s="87"/>
      <c r="I57" s="84" t="s">
        <v>0</v>
      </c>
      <c r="J57" s="87"/>
      <c r="K57" s="87"/>
    </row>
    <row r="58" spans="2:11" s="78" customFormat="1" ht="13.5" thickBot="1">
      <c r="B58" s="80" t="s">
        <v>299</v>
      </c>
      <c r="G58" s="87"/>
      <c r="H58" s="87"/>
      <c r="I58" s="120">
        <f>I37+I46+I56</f>
        <v>1844.9866733333333</v>
      </c>
      <c r="J58" s="126">
        <f>I10*I58</f>
        <v>1844.9866733333333</v>
      </c>
      <c r="K58" s="87"/>
    </row>
    <row r="59" spans="2:11" s="78" customFormat="1" ht="13.5" thickTop="1">
      <c r="B59" s="80"/>
      <c r="G59" s="87"/>
      <c r="H59" s="87"/>
      <c r="I59" s="83"/>
      <c r="J59" s="90"/>
      <c r="K59" s="87"/>
    </row>
    <row r="60" spans="2:11" s="78" customFormat="1" ht="12.75">
      <c r="B60" s="80"/>
      <c r="G60" s="87"/>
      <c r="H60" s="87"/>
      <c r="I60" s="83"/>
      <c r="J60" s="90"/>
      <c r="K60" s="87"/>
    </row>
    <row r="61" spans="2:17" s="78" customFormat="1" ht="13.5" thickBot="1">
      <c r="B61" s="137"/>
      <c r="C61" s="138"/>
      <c r="D61" s="138"/>
      <c r="E61" s="138"/>
      <c r="F61" s="138"/>
      <c r="G61" s="139"/>
      <c r="H61" s="139"/>
      <c r="I61" s="140"/>
      <c r="J61" s="90"/>
      <c r="K61" s="87"/>
      <c r="M61" s="78" t="s">
        <v>75</v>
      </c>
      <c r="Q61" s="78" t="s">
        <v>75</v>
      </c>
    </row>
    <row r="62" spans="2:17" s="78" customFormat="1" ht="12.75">
      <c r="B62" s="80"/>
      <c r="G62" s="87"/>
      <c r="H62" s="87"/>
      <c r="I62" s="83"/>
      <c r="J62" s="90"/>
      <c r="K62" s="87"/>
      <c r="M62" s="78" t="s">
        <v>5</v>
      </c>
      <c r="Q62" s="78" t="s">
        <v>75</v>
      </c>
    </row>
    <row r="63" spans="2:17" s="78" customFormat="1" ht="12.75">
      <c r="B63" s="80"/>
      <c r="G63" s="87"/>
      <c r="H63" s="87"/>
      <c r="I63" s="83"/>
      <c r="J63" s="90"/>
      <c r="K63" s="87"/>
      <c r="M63" s="78" t="s">
        <v>1</v>
      </c>
      <c r="Q63" s="78" t="s">
        <v>75</v>
      </c>
    </row>
    <row r="64" spans="3:17" s="78" customFormat="1" ht="12.75">
      <c r="C64" s="80" t="s">
        <v>109</v>
      </c>
      <c r="G64" s="87"/>
      <c r="H64" s="87"/>
      <c r="I64" s="87"/>
      <c r="J64" s="87"/>
      <c r="K64" s="87"/>
      <c r="M64" s="92">
        <f>I10</f>
        <v>1</v>
      </c>
      <c r="N64" s="78" t="s">
        <v>8</v>
      </c>
      <c r="Q64" s="78" t="s">
        <v>75</v>
      </c>
    </row>
    <row r="65" spans="3:17" s="78" customFormat="1" ht="12.75">
      <c r="C65" s="78" t="s">
        <v>300</v>
      </c>
      <c r="G65" s="87"/>
      <c r="H65" s="87"/>
      <c r="I65" s="82">
        <f>I37/G15</f>
        <v>0.8149166666666666</v>
      </c>
      <c r="J65" s="87"/>
      <c r="K65" s="87"/>
      <c r="M65" s="92">
        <f>E15</f>
        <v>1700</v>
      </c>
      <c r="N65" s="78" t="s">
        <v>10</v>
      </c>
      <c r="O65" s="68">
        <f>E16</f>
        <v>2.6</v>
      </c>
      <c r="P65" s="78" t="s">
        <v>9</v>
      </c>
      <c r="Q65" s="78" t="s">
        <v>75</v>
      </c>
    </row>
    <row r="66" spans="3:17" s="78" customFormat="1" ht="12.75">
      <c r="C66" s="78" t="s">
        <v>301</v>
      </c>
      <c r="G66" s="87"/>
      <c r="H66" s="87"/>
      <c r="I66" s="82">
        <f>I46/G15</f>
        <v>0.3283333333333333</v>
      </c>
      <c r="J66" s="87"/>
      <c r="K66" s="87"/>
      <c r="M66" s="92">
        <f>F15</f>
        <v>1400</v>
      </c>
      <c r="N66" s="78" t="s">
        <v>27</v>
      </c>
      <c r="O66" s="68">
        <f>F16</f>
        <v>2.3</v>
      </c>
      <c r="P66" s="78" t="s">
        <v>26</v>
      </c>
      <c r="Q66" s="78" t="s">
        <v>75</v>
      </c>
    </row>
    <row r="67" spans="3:15" s="78" customFormat="1" ht="12.75">
      <c r="C67" s="78" t="s">
        <v>106</v>
      </c>
      <c r="D67" s="78" t="s">
        <v>302</v>
      </c>
      <c r="G67" s="87"/>
      <c r="H67" s="87"/>
      <c r="I67" s="82">
        <f>I56/G15</f>
        <v>0.39423889444444443</v>
      </c>
      <c r="J67" s="87"/>
      <c r="K67" s="87"/>
      <c r="M67" s="92"/>
      <c r="O67" s="68"/>
    </row>
    <row r="68" spans="2:17" s="78" customFormat="1" ht="12.75">
      <c r="B68" s="80"/>
      <c r="C68" s="78" t="s">
        <v>296</v>
      </c>
      <c r="G68" s="87"/>
      <c r="H68" s="87"/>
      <c r="I68" s="83">
        <f>UNITCOST/MEDP</f>
        <v>922.4933366666667</v>
      </c>
      <c r="J68" s="87"/>
      <c r="K68" s="87"/>
      <c r="M68" s="92">
        <f>G15</f>
        <v>1200</v>
      </c>
      <c r="N68" s="78" t="s">
        <v>20</v>
      </c>
      <c r="O68" s="68">
        <f>G16</f>
        <v>2</v>
      </c>
      <c r="P68" s="78" t="s">
        <v>19</v>
      </c>
      <c r="Q68" s="78" t="s">
        <v>75</v>
      </c>
    </row>
    <row r="69" spans="7:17" s="78" customFormat="1" ht="12.75">
      <c r="G69" s="87"/>
      <c r="H69" s="87"/>
      <c r="I69" s="103"/>
      <c r="J69" s="87"/>
      <c r="K69" s="87"/>
      <c r="M69" s="92">
        <f>H15</f>
        <v>700</v>
      </c>
      <c r="N69" s="78" t="s">
        <v>30</v>
      </c>
      <c r="O69" s="68">
        <f>H16</f>
        <v>1.7</v>
      </c>
      <c r="P69" s="78" t="s">
        <v>29</v>
      </c>
      <c r="Q69" s="78" t="s">
        <v>75</v>
      </c>
    </row>
    <row r="70" spans="2:17" s="78" customFormat="1" ht="12.75">
      <c r="B70" s="78" t="s">
        <v>275</v>
      </c>
      <c r="G70" s="87"/>
      <c r="H70" s="87"/>
      <c r="I70" s="87"/>
      <c r="J70" s="87"/>
      <c r="K70" s="87"/>
      <c r="M70" s="92">
        <f>I15</f>
        <v>400</v>
      </c>
      <c r="N70" s="78" t="s">
        <v>53</v>
      </c>
      <c r="O70" s="68">
        <f>I16</f>
        <v>1.4</v>
      </c>
      <c r="P70" s="78" t="s">
        <v>52</v>
      </c>
      <c r="Q70" s="78" t="s">
        <v>75</v>
      </c>
    </row>
    <row r="71" spans="7:17" s="78" customFormat="1" ht="12.75">
      <c r="G71" s="87"/>
      <c r="H71" s="87"/>
      <c r="I71" s="87"/>
      <c r="J71" s="102" t="s">
        <v>0</v>
      </c>
      <c r="K71" s="87" t="s">
        <v>0</v>
      </c>
      <c r="M71" s="68">
        <f>I66</f>
        <v>0.3283333333333333</v>
      </c>
      <c r="N71" s="78" t="s">
        <v>18</v>
      </c>
      <c r="Q71" s="78" t="s">
        <v>75</v>
      </c>
    </row>
    <row r="72" spans="7:17" s="78" customFormat="1" ht="12.75">
      <c r="G72" s="87"/>
      <c r="H72" s="87"/>
      <c r="I72" s="87"/>
      <c r="J72" s="102" t="s">
        <v>0</v>
      </c>
      <c r="K72" s="87"/>
      <c r="M72" s="68">
        <f>I37+I56</f>
        <v>1450.9866733333333</v>
      </c>
      <c r="N72" s="78" t="s">
        <v>43</v>
      </c>
      <c r="Q72" s="78" t="s">
        <v>75</v>
      </c>
    </row>
    <row r="73" spans="2:17" s="78" customFormat="1" ht="13.5" thickBot="1">
      <c r="B73" s="138"/>
      <c r="C73" s="138"/>
      <c r="D73" s="138"/>
      <c r="E73" s="138"/>
      <c r="F73" s="138"/>
      <c r="G73" s="139"/>
      <c r="H73" s="139"/>
      <c r="I73" s="139"/>
      <c r="J73" s="87"/>
      <c r="K73" s="87"/>
      <c r="M73" s="78" t="s">
        <v>75</v>
      </c>
      <c r="Q73" s="78" t="s">
        <v>75</v>
      </c>
    </row>
    <row r="74" spans="7:17" s="78" customFormat="1" ht="12.75">
      <c r="G74" s="87"/>
      <c r="H74" s="87"/>
      <c r="I74" s="87"/>
      <c r="J74" s="87"/>
      <c r="K74" s="87"/>
      <c r="M74" s="78" t="s">
        <v>1</v>
      </c>
      <c r="Q74" s="78" t="s">
        <v>82</v>
      </c>
    </row>
    <row r="75" spans="7:17" s="78" customFormat="1" ht="12.75">
      <c r="G75" s="87"/>
      <c r="H75" s="87"/>
      <c r="I75" s="87"/>
      <c r="J75" s="87"/>
      <c r="K75" s="87"/>
      <c r="N75" s="78" t="s">
        <v>113</v>
      </c>
      <c r="Q75" s="78" t="s">
        <v>82</v>
      </c>
    </row>
    <row r="76" spans="7:17" s="78" customFormat="1" ht="12.75">
      <c r="G76" s="85" t="s">
        <v>0</v>
      </c>
      <c r="H76" s="85"/>
      <c r="I76" s="87"/>
      <c r="J76" s="87"/>
      <c r="K76" s="87"/>
      <c r="M76" s="78" t="s">
        <v>1</v>
      </c>
      <c r="Q76" s="78" t="s">
        <v>82</v>
      </c>
    </row>
    <row r="77" spans="1:17" s="78" customFormat="1" ht="12.75">
      <c r="A77" s="104" t="s">
        <v>129</v>
      </c>
      <c r="B77" s="104"/>
      <c r="C77" s="104"/>
      <c r="D77" s="104"/>
      <c r="E77" s="104"/>
      <c r="F77" s="104"/>
      <c r="G77" s="104"/>
      <c r="H77" s="104"/>
      <c r="I77" s="104"/>
      <c r="J77" s="104"/>
      <c r="K77" s="87"/>
      <c r="M77" s="92">
        <f>0.04*M65+0.25*M66+0.42*M68+0.25*M69+0.04*M70</f>
        <v>1113</v>
      </c>
      <c r="N77" s="78" t="s">
        <v>16</v>
      </c>
      <c r="O77" s="78">
        <f>0.04*O65+0.25*O66+0.42*O68+0.25*O69+0.04*O70</f>
        <v>2</v>
      </c>
      <c r="P77" s="78" t="s">
        <v>15</v>
      </c>
      <c r="Q77" s="78" t="s">
        <v>82</v>
      </c>
    </row>
    <row r="78" spans="1:17" s="78" customFormat="1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7"/>
      <c r="M78" s="78">
        <f>0.25*(M65-M77)+0.5*(M66-M77)</f>
        <v>290.25</v>
      </c>
      <c r="N78" s="78" t="s">
        <v>41</v>
      </c>
      <c r="O78" s="78">
        <f>0.25*(O65-O77)+0.5*(O66-O77)</f>
        <v>0.29999999999999993</v>
      </c>
      <c r="P78" s="78" t="s">
        <v>33</v>
      </c>
      <c r="Q78" s="78" t="s">
        <v>82</v>
      </c>
    </row>
    <row r="79" spans="2:17" s="78" customFormat="1" ht="12.75">
      <c r="B79" s="78" t="s">
        <v>0</v>
      </c>
      <c r="C79" s="78" t="s">
        <v>128</v>
      </c>
      <c r="E79" s="78" t="s">
        <v>260</v>
      </c>
      <c r="F79" s="87"/>
      <c r="G79" s="82" t="s">
        <v>128</v>
      </c>
      <c r="H79" s="82" t="s">
        <v>0</v>
      </c>
      <c r="I79" s="102" t="s">
        <v>232</v>
      </c>
      <c r="K79" s="87"/>
      <c r="M79" s="78">
        <f>0.25*(M77-M70)+0.5*(M77-M69)</f>
        <v>384.75</v>
      </c>
      <c r="N79" s="78" t="s">
        <v>42</v>
      </c>
      <c r="O79" s="78">
        <f>0.25*(O77-O70)+0.5*(O77-O69)</f>
        <v>0.30000000000000004</v>
      </c>
      <c r="P79" s="78" t="s">
        <v>34</v>
      </c>
      <c r="Q79" s="78" t="s">
        <v>82</v>
      </c>
    </row>
    <row r="80" spans="2:17" s="78" customFormat="1" ht="12.75">
      <c r="B80" s="78" t="s">
        <v>95</v>
      </c>
      <c r="C80" s="78" t="s">
        <v>266</v>
      </c>
      <c r="E80" s="78" t="s">
        <v>178</v>
      </c>
      <c r="F80" s="87"/>
      <c r="G80" s="82" t="s">
        <v>202</v>
      </c>
      <c r="H80" s="82" t="s">
        <v>0</v>
      </c>
      <c r="I80" s="102" t="s">
        <v>214</v>
      </c>
      <c r="K80" s="87"/>
      <c r="M80" s="92">
        <f>M78^2</f>
        <v>84245.0625</v>
      </c>
      <c r="N80" s="78" t="s">
        <v>50</v>
      </c>
      <c r="O80" s="78">
        <f>O78^2</f>
        <v>0.08999999999999996</v>
      </c>
      <c r="P80" s="78" t="s">
        <v>44</v>
      </c>
      <c r="Q80" s="78" t="s">
        <v>82</v>
      </c>
    </row>
    <row r="81" spans="6:17" s="78" customFormat="1" ht="12.75">
      <c r="F81" s="87"/>
      <c r="G81" s="87"/>
      <c r="H81" s="87"/>
      <c r="I81" s="87"/>
      <c r="K81" s="87"/>
      <c r="M81" s="92">
        <f>M79^2</f>
        <v>148032.5625</v>
      </c>
      <c r="N81" s="78" t="s">
        <v>51</v>
      </c>
      <c r="O81" s="78">
        <f>O79^2</f>
        <v>0.09000000000000002</v>
      </c>
      <c r="P81" s="78" t="s">
        <v>45</v>
      </c>
      <c r="Q81" s="78" t="s">
        <v>82</v>
      </c>
    </row>
    <row r="82" spans="2:17" s="78" customFormat="1" ht="13.5" thickBot="1">
      <c r="B82" s="92">
        <f>I10</f>
        <v>1</v>
      </c>
      <c r="C82" s="92">
        <f>MEDY</f>
        <v>1200</v>
      </c>
      <c r="E82" s="129">
        <f>MEDY</f>
        <v>1200</v>
      </c>
      <c r="F82" s="87"/>
      <c r="G82" s="82">
        <f>MEDP</f>
        <v>2</v>
      </c>
      <c r="H82" s="87"/>
      <c r="I82" s="130">
        <f>E82*O77</f>
        <v>2400</v>
      </c>
      <c r="K82" s="87" t="s">
        <v>2</v>
      </c>
      <c r="M82" s="78" t="s">
        <v>1</v>
      </c>
      <c r="Q82" s="78" t="s">
        <v>82</v>
      </c>
    </row>
    <row r="83" spans="7:17" s="78" customFormat="1" ht="13.5" thickTop="1">
      <c r="G83" s="87"/>
      <c r="H83" s="87"/>
      <c r="I83" s="87"/>
      <c r="J83" s="87"/>
      <c r="K83" s="87"/>
      <c r="M83" s="92">
        <f>(M77^2*O80)+(O77-M71)^2*M80</f>
        <v>346909.46300156246</v>
      </c>
      <c r="N83" s="92" t="s">
        <v>46</v>
      </c>
      <c r="O83" s="92">
        <f>(M77^2*O81)+(O77-M71)^2*M81</f>
        <v>525161.6826890626</v>
      </c>
      <c r="P83" s="78" t="s">
        <v>49</v>
      </c>
      <c r="Q83" s="78" t="s">
        <v>82</v>
      </c>
    </row>
    <row r="84" spans="7:17" s="78" customFormat="1" ht="12.75">
      <c r="G84" s="87"/>
      <c r="H84" s="87"/>
      <c r="I84" s="87"/>
      <c r="J84" s="87"/>
      <c r="K84" s="87"/>
      <c r="M84" s="92">
        <f>(M77^2*O80)+(O77-M71)^2*M81</f>
        <v>525161.6826890624</v>
      </c>
      <c r="N84" s="92" t="s">
        <v>47</v>
      </c>
      <c r="O84" s="92">
        <f>M77^2*O81+(O77-M71)^2*M80</f>
        <v>346909.4630015625</v>
      </c>
      <c r="P84" s="78" t="s">
        <v>48</v>
      </c>
      <c r="Q84" s="78" t="s">
        <v>82</v>
      </c>
    </row>
    <row r="85" spans="2:18" s="78" customFormat="1" ht="13.5" thickBot="1">
      <c r="B85" s="138"/>
      <c r="C85" s="138"/>
      <c r="D85" s="138"/>
      <c r="E85" s="138"/>
      <c r="F85" s="138"/>
      <c r="G85" s="139"/>
      <c r="H85" s="139"/>
      <c r="I85" s="139"/>
      <c r="J85" s="87"/>
      <c r="K85" s="87"/>
      <c r="M85" s="92">
        <f>SQRT(M83)</f>
        <v>588.9902062017351</v>
      </c>
      <c r="N85" s="92" t="s">
        <v>35</v>
      </c>
      <c r="O85" s="92">
        <f>SQRT(O83)</f>
        <v>724.6804003759606</v>
      </c>
      <c r="P85" s="78" t="s">
        <v>38</v>
      </c>
      <c r="Q85" s="78" t="s">
        <v>82</v>
      </c>
      <c r="R85" s="78" t="s">
        <v>0</v>
      </c>
    </row>
    <row r="86" spans="7:17" s="78" customFormat="1" ht="12.75">
      <c r="G86" s="87"/>
      <c r="H86" s="87"/>
      <c r="I86" s="87"/>
      <c r="J86" s="87"/>
      <c r="K86" s="87"/>
      <c r="M86" s="92">
        <f>SQRT(M84)</f>
        <v>724.6804003759605</v>
      </c>
      <c r="N86" s="92" t="s">
        <v>36</v>
      </c>
      <c r="O86" s="92">
        <f>SQRT(O84)</f>
        <v>588.9902062017352</v>
      </c>
      <c r="P86" s="78" t="s">
        <v>37</v>
      </c>
      <c r="Q86" s="78" t="s">
        <v>82</v>
      </c>
    </row>
    <row r="87" spans="7:43" s="78" customFormat="1" ht="12.75">
      <c r="G87" s="87"/>
      <c r="H87" s="87"/>
      <c r="I87" s="87"/>
      <c r="J87" s="87"/>
      <c r="K87" s="87"/>
      <c r="M87" s="92">
        <f>0.66*M85+0.17*M86+0.17*O86</f>
        <v>612.0575392113535</v>
      </c>
      <c r="N87" s="92" t="s">
        <v>39</v>
      </c>
      <c r="O87" s="92">
        <f>0.66*O85+0.17*M86+0.17*O86</f>
        <v>701.6130673663423</v>
      </c>
      <c r="P87" s="78" t="s">
        <v>40</v>
      </c>
      <c r="Q87" s="78" t="s">
        <v>82</v>
      </c>
      <c r="AQ87" s="78" t="s">
        <v>215</v>
      </c>
    </row>
    <row r="88" spans="1:17" s="78" customFormat="1" ht="12.75">
      <c r="A88" s="104" t="s">
        <v>3</v>
      </c>
      <c r="B88" s="104"/>
      <c r="C88" s="104"/>
      <c r="D88" s="104"/>
      <c r="E88" s="104"/>
      <c r="F88" s="104"/>
      <c r="G88" s="104"/>
      <c r="H88" s="104"/>
      <c r="I88" s="104"/>
      <c r="J88" s="104"/>
      <c r="K88" s="87"/>
      <c r="M88" s="78" t="s">
        <v>1</v>
      </c>
      <c r="Q88" s="78" t="s">
        <v>82</v>
      </c>
    </row>
    <row r="89" spans="7:17" s="78" customFormat="1" ht="13.5" thickBot="1">
      <c r="G89" s="87"/>
      <c r="H89" s="87"/>
      <c r="I89" s="87"/>
      <c r="J89" s="87"/>
      <c r="K89" s="87"/>
      <c r="M89" s="78" t="s">
        <v>112</v>
      </c>
      <c r="Q89" s="78" t="s">
        <v>82</v>
      </c>
    </row>
    <row r="90" spans="1:17" s="78" customFormat="1" ht="15.75" thickTop="1">
      <c r="A90" s="141"/>
      <c r="B90" s="142" t="s">
        <v>182</v>
      </c>
      <c r="C90" s="143"/>
      <c r="D90" s="143"/>
      <c r="E90" s="143"/>
      <c r="F90" s="143"/>
      <c r="G90" s="143"/>
      <c r="H90" s="143"/>
      <c r="I90" s="143"/>
      <c r="J90" s="144"/>
      <c r="K90" s="87"/>
      <c r="M90" s="78" t="s">
        <v>1</v>
      </c>
      <c r="Q90" s="78" t="s">
        <v>82</v>
      </c>
    </row>
    <row r="91" spans="1:17" s="78" customFormat="1" ht="15">
      <c r="A91" s="141"/>
      <c r="B91" s="145" t="s">
        <v>226</v>
      </c>
      <c r="C91" s="146"/>
      <c r="D91" s="146"/>
      <c r="E91" s="146"/>
      <c r="F91" s="146"/>
      <c r="G91" s="146"/>
      <c r="H91" s="146"/>
      <c r="I91" s="146"/>
      <c r="J91" s="147"/>
      <c r="K91" s="87"/>
      <c r="M91" s="92">
        <f>M85*M64</f>
        <v>588.9902062017351</v>
      </c>
      <c r="N91" s="78" t="s">
        <v>35</v>
      </c>
      <c r="O91" s="92">
        <f>O85*M64</f>
        <v>724.6804003759606</v>
      </c>
      <c r="P91" s="78" t="s">
        <v>38</v>
      </c>
      <c r="Q91" s="78" t="s">
        <v>82</v>
      </c>
    </row>
    <row r="92" spans="1:17" s="78" customFormat="1" ht="15.75" thickBot="1">
      <c r="A92" s="141"/>
      <c r="B92" s="148" t="s">
        <v>225</v>
      </c>
      <c r="C92" s="149"/>
      <c r="D92" s="149"/>
      <c r="E92" s="149"/>
      <c r="F92" s="149"/>
      <c r="G92" s="149"/>
      <c r="H92" s="149"/>
      <c r="I92" s="149"/>
      <c r="J92" s="150"/>
      <c r="K92" s="87"/>
      <c r="M92" s="92">
        <f>M86*M64</f>
        <v>724.6804003759605</v>
      </c>
      <c r="N92" s="78" t="s">
        <v>36</v>
      </c>
      <c r="O92" s="92">
        <f>O86*M64</f>
        <v>588.9902062017352</v>
      </c>
      <c r="P92" s="78" t="s">
        <v>37</v>
      </c>
      <c r="Q92" s="78" t="s">
        <v>82</v>
      </c>
    </row>
    <row r="93" spans="7:17" s="78" customFormat="1" ht="13.5" thickTop="1">
      <c r="G93" s="87"/>
      <c r="H93" s="87"/>
      <c r="I93" s="87"/>
      <c r="J93" s="87"/>
      <c r="K93" s="87" t="s">
        <v>0</v>
      </c>
      <c r="M93" s="92">
        <f>M64*M87</f>
        <v>612.0575392113535</v>
      </c>
      <c r="N93" s="78" t="s">
        <v>39</v>
      </c>
      <c r="O93" s="92">
        <f>M64*O87</f>
        <v>701.6130673663423</v>
      </c>
      <c r="P93" s="78" t="s">
        <v>40</v>
      </c>
      <c r="Q93" s="78" t="s">
        <v>82</v>
      </c>
    </row>
    <row r="94" spans="5:17" s="78" customFormat="1" ht="12.75">
      <c r="E94" s="96" t="s">
        <v>28</v>
      </c>
      <c r="G94" s="85" t="s">
        <v>17</v>
      </c>
      <c r="H94" s="87"/>
      <c r="I94" s="105" t="s">
        <v>31</v>
      </c>
      <c r="J94" s="87"/>
      <c r="K94" s="87"/>
      <c r="M94" s="68">
        <f>O68</f>
        <v>2</v>
      </c>
      <c r="N94" s="78" t="s">
        <v>22</v>
      </c>
      <c r="O94" s="78">
        <f>M68</f>
        <v>1200</v>
      </c>
      <c r="P94" s="78" t="s">
        <v>25</v>
      </c>
      <c r="Q94" s="78" t="s">
        <v>82</v>
      </c>
    </row>
    <row r="95" spans="4:17" s="78" customFormat="1" ht="12.75">
      <c r="D95" s="87"/>
      <c r="J95" s="87"/>
      <c r="K95" s="87"/>
      <c r="M95" s="92">
        <f>I10*M77*O77</f>
        <v>2226</v>
      </c>
      <c r="N95" s="78" t="s">
        <v>14</v>
      </c>
      <c r="O95" s="92">
        <f>(M72+M68*M71)*M64</f>
        <v>1844.9866733333333</v>
      </c>
      <c r="P95" s="78" t="s">
        <v>23</v>
      </c>
      <c r="Q95" s="78" t="s">
        <v>82</v>
      </c>
    </row>
    <row r="96" spans="2:17" s="78" customFormat="1" ht="12.75">
      <c r="B96" s="78" t="s">
        <v>80</v>
      </c>
      <c r="D96" s="102">
        <f>O$96+1.5*M$93</f>
        <v>1299.099635483697</v>
      </c>
      <c r="E96" s="102">
        <f>(O96+M93)</f>
        <v>993.0708658780202</v>
      </c>
      <c r="F96" s="102">
        <f>O96+0.5*M93</f>
        <v>687.0420962723434</v>
      </c>
      <c r="G96" s="91">
        <f>O96</f>
        <v>381.01332666666667</v>
      </c>
      <c r="H96" s="102">
        <f>O96-0.5*O93</f>
        <v>30.206792983495518</v>
      </c>
      <c r="I96" s="102">
        <f>O96-O93</f>
        <v>-320.59974069967564</v>
      </c>
      <c r="J96" s="102">
        <f>O96-1.5*O93</f>
        <v>-671.4062743828467</v>
      </c>
      <c r="K96" s="87"/>
      <c r="M96" s="92">
        <f>M95+(0.7857*(O93-M93))</f>
        <v>2296.3637784713746</v>
      </c>
      <c r="N96" s="78" t="s">
        <v>24</v>
      </c>
      <c r="O96" s="92">
        <f>M95-O95</f>
        <v>381.01332666666667</v>
      </c>
      <c r="P96" s="78" t="s">
        <v>12</v>
      </c>
      <c r="Q96" s="78" t="s">
        <v>82</v>
      </c>
    </row>
    <row r="97" spans="2:17" s="78" customFormat="1" ht="12.75">
      <c r="B97" s="78" t="s">
        <v>114</v>
      </c>
      <c r="D97" s="106">
        <f>IF(N100&lt;1,IF(M100,R100,1-R100),IF(M100,R101,1-R101))</f>
        <v>0.059808061857476745</v>
      </c>
      <c r="E97" s="106">
        <f>IF(T100&lt;1,IF(S100,X100,1-X100),IF(S100,X101,1-X101))</f>
        <v>0.15871177356867824</v>
      </c>
      <c r="F97" s="106">
        <f>IF(Z100&lt;1,IF(Y100,AD100,1-AD100),IF(Y100,AD101,1-AD101))</f>
        <v>0.34622589722576347</v>
      </c>
      <c r="G97" s="106">
        <f>IF(N102&lt;1,IF(M102,R102,1-R102),IF(M102,R103,1-R103))</f>
        <v>0.5426553239456635</v>
      </c>
      <c r="H97" s="107">
        <f>IF(T102&lt;1,IF(S102,X102,1-X102),IF(S102,X103,1-X103))</f>
        <v>0.7230340776848494</v>
      </c>
      <c r="I97" s="107">
        <f>IF(Z102&lt;1,IF(Y102,AD102,1-AD102),IF(Y102,AD103,1-AD103))</f>
        <v>0.8413939512700312</v>
      </c>
      <c r="J97" s="108">
        <f>IF(N104&lt;1,IF(M104,R104,1-R104),IF(M104,R105,1-R105))</f>
        <v>0.9270329378872381</v>
      </c>
      <c r="K97" s="87" t="s">
        <v>0</v>
      </c>
      <c r="L97" s="78" t="s">
        <v>82</v>
      </c>
      <c r="M97" s="92">
        <f>M96-O95</f>
        <v>451.3771051380413</v>
      </c>
      <c r="N97" s="78" t="s">
        <v>21</v>
      </c>
      <c r="O97" s="78">
        <f>O96-M97</f>
        <v>-70.36377847137464</v>
      </c>
      <c r="P97" s="78" t="s">
        <v>13</v>
      </c>
      <c r="Q97" s="78" t="s">
        <v>82</v>
      </c>
    </row>
    <row r="98" spans="2:17" s="78" customFormat="1" ht="12.75">
      <c r="B98" s="78" t="s">
        <v>114</v>
      </c>
      <c r="D98" s="109">
        <f>IF(N100&lt;1,IF(M100,1-R100,R100),IF(M100,1-R101,R101))</f>
        <v>0.9401919381425232</v>
      </c>
      <c r="E98" s="109">
        <f>IF(T100&lt;1,IF(S100,1-X100,X100),IF(S100,1-X101,X101))</f>
        <v>0.8412882264313217</v>
      </c>
      <c r="F98" s="109">
        <f>IF(Z100&lt;1,IF(Y100,1-AD100,AD100),IF(Y100,1-AD101,AD101))</f>
        <v>0.6537741027742365</v>
      </c>
      <c r="G98" s="106">
        <f>IF(N102&lt;1,IF(M102,1-R102,R102),IF(M102,1-R103,R103))</f>
        <v>0.45734467605433654</v>
      </c>
      <c r="H98" s="106">
        <f>IF(T102&lt;1,IF(S102,1-X102,X102),IF(S102,1-X103,X103))</f>
        <v>0.27696592231515066</v>
      </c>
      <c r="I98" s="106">
        <f>IF(Z102&lt;1,IF(Y102,1-AD102,AD102),IF(Y102,1-AD103,AD103))</f>
        <v>0.1586060487299688</v>
      </c>
      <c r="J98" s="106">
        <f>IF(N104&lt;1,IF(M104,1-R104,R104),IF(M104,1-R105,R105))</f>
        <v>0.0729670621127619</v>
      </c>
      <c r="K98" s="87"/>
      <c r="L98" s="78" t="s">
        <v>82</v>
      </c>
      <c r="M98" s="78" t="s">
        <v>1</v>
      </c>
      <c r="Q98" s="78" t="s">
        <v>82</v>
      </c>
    </row>
    <row r="99" spans="4:11" s="78" customFormat="1" ht="12.75">
      <c r="D99" s="87"/>
      <c r="E99" s="87"/>
      <c r="F99" s="87"/>
      <c r="G99" s="87"/>
      <c r="H99" s="87"/>
      <c r="I99" s="87"/>
      <c r="J99" s="87"/>
      <c r="K99" s="87"/>
    </row>
    <row r="100" spans="2:30" s="78" customFormat="1" ht="13.5" thickBot="1">
      <c r="B100" s="80" t="s">
        <v>115</v>
      </c>
      <c r="D100" s="87"/>
      <c r="E100" s="131">
        <f>IF(T104&lt;1,IF(S104,X104,1-X104),IF(S104,X105,1-X105))</f>
        <v>0.7356325370943096</v>
      </c>
      <c r="F100" s="86" t="s">
        <v>319</v>
      </c>
      <c r="G100" s="87"/>
      <c r="H100" s="87"/>
      <c r="I100" s="87"/>
      <c r="J100" s="125">
        <f>M64*(G15*G16-I58)</f>
        <v>555.0133266666667</v>
      </c>
      <c r="K100" s="87"/>
      <c r="M100" s="68" t="b">
        <f>+D96&gt;=M97</f>
        <v>1</v>
      </c>
      <c r="N100" s="68">
        <f>ABS((D96-O96)/IF(M100,M93,O93))</f>
        <v>1.5000000000000002</v>
      </c>
      <c r="O100" s="68">
        <f>MIN(2.5,ABS((D96-(M97+O97*ABS(D96-M97)/ABS(IF(M100,M93+O97,O93-O97))*MIN(1,N100)))/(MIN(1.52,N100)/1.52*IF(M100,M91,O91)+(1.52-MIN(1.52,N100))/3.04*M92+(1.52-MIN(1.52,N100))/3.04*O92)))</f>
        <v>1.6237768072976908</v>
      </c>
      <c r="P100" s="68">
        <f aca="true" t="shared" si="1" ref="P100:P105">1/(1+(0.2316419*O100))</f>
        <v>0.7266730265806819</v>
      </c>
      <c r="Q100" s="68">
        <f aca="true" t="shared" si="2" ref="Q100:Q105">0.398942281*((2.71828)^((-(O100^2)/2)))</f>
        <v>0.10675025854725949</v>
      </c>
      <c r="R100" s="68">
        <f aca="true" t="shared" si="3" ref="R100:R105">Q100*(0.31938153*P100-0.356563782*P100^2+1.781477937*P100^3-1.821255978*P100^4+1.330274429*P100^5)</f>
        <v>0.05221176275037514</v>
      </c>
      <c r="S100" s="68" t="b">
        <f>+E96&gt;=M97</f>
        <v>1</v>
      </c>
      <c r="T100" s="68">
        <f>ABS((E96-O96)/IF(S100,M93,O93))</f>
        <v>1</v>
      </c>
      <c r="U100" s="68">
        <f>MIN(2.5,ABS((E96-(M97+O97*ABS(E96-M97)/ABS(IF(S100,M93+O97,O93-O97))*MIN(1,T100)))/(MIN(1.52,T100)/1.52*IF(S100,M91,O91)+(1.52-MIN(1.52,T100))/3.04*M92+(1.52-MIN(1.52,T100))/3.04*O92)))</f>
        <v>0.9997666911192669</v>
      </c>
      <c r="V100" s="68">
        <f aca="true" t="shared" si="4" ref="V100:V105">1/(1+(0.2316419*U100))</f>
        <v>0.8119599387242419</v>
      </c>
      <c r="W100" s="68">
        <f aca="true" t="shared" si="5" ref="W100:W105">0.398942281*((2.71828)^((-(U100^2)/2)))</f>
        <v>0.24202726016231604</v>
      </c>
      <c r="X100" s="68">
        <f aca="true" t="shared" si="6" ref="X100:X105">W100*(0.31938153*V100-0.356563782*V100^2+1.781477937*V100^3-1.821255978*V100^4+1.330274429*V100^5)</f>
        <v>0.15871177356867824</v>
      </c>
      <c r="Y100" s="68" t="b">
        <f>+F96&gt;=M97</f>
        <v>1</v>
      </c>
      <c r="Z100" s="68">
        <f>ABS((F96-O96)/IF(Y100,M93,O93))</f>
        <v>0.5</v>
      </c>
      <c r="AA100" s="68">
        <f>MIN(2.5,ABS((F96-(M97+O97*ABS(F96-M97)/ABS(IF(Y100,M93+O97,O93-O97))*MIN(1,Z100)))/(MIN(1.52,Z100)/1.52*IF(Y100,M91,O91)+(1.52-MIN(1.52,Z100))/3.04*M92+(1.52-MIN(1.52,Z100))/3.04*O92)))</f>
        <v>0.39553016500299476</v>
      </c>
      <c r="AB100" s="68">
        <f>1/(1+(0.2316419*AA100))</f>
        <v>0.9160685541930668</v>
      </c>
      <c r="AC100" s="68">
        <f>0.398942281*((2.71828)^((-(AA100^2)/2)))</f>
        <v>0.3689255064720122</v>
      </c>
      <c r="AD100" s="68">
        <f>AC100*(0.31938153*AB100-0.356563782*AB100^2+1.781477937*AB100^3-1.821255978*AB100^4+1.330274429*AB100^5)</f>
        <v>0.34622589722576347</v>
      </c>
    </row>
    <row r="101" spans="7:30" s="78" customFormat="1" ht="13.5" thickTop="1">
      <c r="G101" s="87"/>
      <c r="H101" s="87"/>
      <c r="I101" s="87"/>
      <c r="J101" s="87"/>
      <c r="K101" s="87"/>
      <c r="L101" s="78" t="s">
        <v>0</v>
      </c>
      <c r="O101" s="68">
        <f>MIN(2.5,ABS((D96-O96)/(MIN(1.52,N100)/1.52*IF(M100,M91,O91)+(1.52-MIN(1.52,N100))/3.04*M92+(1.52-MIN(1.52,N100))/3.04*O92)))</f>
        <v>1.5563873800584127</v>
      </c>
      <c r="P101" s="68">
        <f t="shared" si="1"/>
        <v>0.7350106360142057</v>
      </c>
      <c r="Q101" s="68">
        <f t="shared" si="2"/>
        <v>0.118824394121495</v>
      </c>
      <c r="R101" s="68">
        <f t="shared" si="3"/>
        <v>0.059808061857476745</v>
      </c>
      <c r="U101" s="68">
        <f>MIN(2.5,ABS((E96-O96)/(MIN(1.52,T100)/1.52*IF(S100,M91,O91)+(1.52-MIN(1.52,T100))/3.04*M92+(1.52-MIN(1.52,T100))/3.04*O92)))</f>
        <v>0.9997666911192669</v>
      </c>
      <c r="V101" s="68">
        <f t="shared" si="4"/>
        <v>0.8119599387242419</v>
      </c>
      <c r="W101" s="68">
        <f t="shared" si="5"/>
        <v>0.24202726016231604</v>
      </c>
      <c r="X101" s="68">
        <f t="shared" si="6"/>
        <v>0.15871177356867824</v>
      </c>
      <c r="AA101" s="68">
        <f>MIN(2.5,ABS((F96-O96)/(MIN(1.52,Z100)/1.52*IF(Y100,M91,O91)+(1.52-MIN(1.52,Z100))/3.04*M92+(1.52-MIN(1.52,Z100))/3.04*O92)))</f>
        <v>0.48230128720132465</v>
      </c>
      <c r="AB101" s="68">
        <f>1/(1+(0.2316419*AA101))</f>
        <v>0.8995061100818872</v>
      </c>
      <c r="AC101" s="68">
        <f>0.398942281*((2.71828)^((-(AA101^2)/2)))</f>
        <v>0.35513910567462703</v>
      </c>
      <c r="AD101" s="68">
        <f>AC101*(0.31938153*AB101-0.356563782*AB101^2+1.781477937*AB101^3-1.821255978*AB101^4+1.330274429*AB101^5)</f>
        <v>0.3147959946948981</v>
      </c>
    </row>
    <row r="102" spans="7:30" s="78" customFormat="1" ht="12.75">
      <c r="G102" s="87"/>
      <c r="H102" s="87"/>
      <c r="I102" s="87"/>
      <c r="J102" s="87"/>
      <c r="K102" s="87"/>
      <c r="M102" s="68" t="b">
        <f>+G96&gt;=M97</f>
        <v>0</v>
      </c>
      <c r="N102" s="68">
        <f>ABS((G96-O96)/IF(M102,M93,O93))</f>
        <v>0</v>
      </c>
      <c r="O102" s="68">
        <f>MIN(2.5,ABS((G96-(M97+O97*ABS(G96-M97)/ABS(IF(M102,M93+O97,O93-O97))*MIN(1,N102)))/(MIN(1.52,N102)/1.52*IF(M102,M91,O91)+(1.52-MIN(1.52,N102))/3.04*M92+(1.52-MIN(1.52,N102))/3.04*O92)))</f>
        <v>0.10712545156914577</v>
      </c>
      <c r="P102" s="68">
        <f t="shared" si="1"/>
        <v>0.9757861181194493</v>
      </c>
      <c r="Q102" s="68">
        <f t="shared" si="2"/>
        <v>0.3966597339907687</v>
      </c>
      <c r="R102" s="68">
        <f t="shared" si="3"/>
        <v>0.45734467605433654</v>
      </c>
      <c r="S102" s="68" t="b">
        <f>+H96&gt;=M97</f>
        <v>0</v>
      </c>
      <c r="T102" s="68">
        <f>ABS((H96-O96)/IF(S102,M93,O93))</f>
        <v>0.5</v>
      </c>
      <c r="U102" s="68">
        <f>MIN(2.5,ABS((H96-(M97+O97*ABS(H96-M97)/ABS(IF(S102,M93+O97,O93-O97))*MIN(1,T102)))/(MIN(1.52,T102)/1.52*IF(S102,M91,O91)+(1.52-MIN(1.52,T102))/3.04*M92+(1.52-MIN(1.52,T102))/3.04*O92)))</f>
        <v>0.5918786090130927</v>
      </c>
      <c r="V102" s="68">
        <f t="shared" si="4"/>
        <v>0.8794271242037921</v>
      </c>
      <c r="W102" s="68">
        <f t="shared" si="5"/>
        <v>0.334841311036544</v>
      </c>
      <c r="X102" s="68">
        <f t="shared" si="6"/>
        <v>0.27696592231515066</v>
      </c>
      <c r="Y102" s="68" t="b">
        <f>+I96&gt;=M97</f>
        <v>0</v>
      </c>
      <c r="Z102" s="68">
        <f>ABS((I96-O96)/IF(Y102,M93,O93))</f>
        <v>1</v>
      </c>
      <c r="AA102" s="68">
        <f>MIN(2.5,ABS((I96-(M97+O97*ABS(I96-M97)/ABS(IF(Y102,M93+O97,O93-O97))*MIN(1,Z102)))/(MIN(1.52,Z102)/1.52*IF(Y102,M91,O91)+(1.52-MIN(1.52,Z102))/3.04*M92+(1.52-MIN(1.52,Z102))/3.04*O92)))</f>
        <v>1.0002036177389944</v>
      </c>
      <c r="AB102" s="68">
        <f>1/(1+(0.2316419*AA102))</f>
        <v>0.8118932182477425</v>
      </c>
      <c r="AC102" s="68">
        <f>0.398942281*((2.71828)^((-(AA102^2)/2)))</f>
        <v>0.24192153674868416</v>
      </c>
      <c r="AD102" s="68">
        <f>AC102*(0.31938153*AB102-0.356563782*AB102^2+1.781477937*AB102^3-1.821255978*AB102^4+1.330274429*AB102^5)</f>
        <v>0.1586060487299688</v>
      </c>
    </row>
    <row r="103" spans="7:30" s="78" customFormat="1" ht="12.75">
      <c r="G103" s="87"/>
      <c r="H103" s="87"/>
      <c r="I103" s="87"/>
      <c r="J103" s="87"/>
      <c r="K103" s="87"/>
      <c r="O103" s="68">
        <f>MIN(2.5,ABS((G96-O96)/(MIN(1.52,N102)/1.52*IF(M102,M91,O91)+(1.52-MIN(1.52,N102))/3.04*M92+(1.52-MIN(1.52,N102))/3.04*O92)))</f>
        <v>0</v>
      </c>
      <c r="P103" s="68">
        <f t="shared" si="1"/>
        <v>1</v>
      </c>
      <c r="Q103" s="68">
        <f t="shared" si="2"/>
        <v>0.398942281</v>
      </c>
      <c r="R103" s="68">
        <f t="shared" si="3"/>
        <v>0.5000000002253843</v>
      </c>
      <c r="U103" s="68">
        <f>MIN(2.5,ABS((H96-O96)/(MIN(1.52,T102)/1.52*IF(S102,M91,O91)+(1.52-MIN(1.52,T102))/3.04*M92+(1.52-MIN(1.52,T102))/3.04*O92)))</f>
        <v>0.5165355270133644</v>
      </c>
      <c r="V103" s="68">
        <f t="shared" si="4"/>
        <v>0.8931352341526426</v>
      </c>
      <c r="W103" s="68">
        <f t="shared" si="5"/>
        <v>0.3491188336040871</v>
      </c>
      <c r="X103" s="68">
        <f t="shared" si="6"/>
        <v>0.3027402285007472</v>
      </c>
      <c r="AA103" s="68">
        <f>MIN(2.5,ABS((I96-O96)/(MIN(1.52,Z102)/1.52*IF(Y102,M91,O91)+(1.52-MIN(1.52,Z102))/3.04*M92+(1.52-MIN(1.52,Z102))/3.04*O92)))</f>
        <v>1.0002036177389944</v>
      </c>
      <c r="AB103" s="68">
        <f>1/(1+(0.2316419*AA103))</f>
        <v>0.8118932182477425</v>
      </c>
      <c r="AC103" s="68">
        <f>0.398942281*((2.71828)^((-(AA103^2)/2)))</f>
        <v>0.24192153674868416</v>
      </c>
      <c r="AD103" s="68">
        <f>AC103*(0.31938153*AB103-0.356563782*AB103^2+1.781477937*AB103^3-1.821255978*AB103^4+1.330274429*AB103^5)</f>
        <v>0.1586060487299688</v>
      </c>
    </row>
    <row r="104" spans="7:24" s="78" customFormat="1" ht="12.75">
      <c r="G104" s="87"/>
      <c r="H104" s="87"/>
      <c r="I104" s="87"/>
      <c r="J104" s="87"/>
      <c r="K104" s="87"/>
      <c r="M104" s="68" t="b">
        <f>+J96&gt;=M97</f>
        <v>0</v>
      </c>
      <c r="N104" s="68">
        <f>ABS((J96-O96)/IF(M104,M93,O93))</f>
        <v>1.5</v>
      </c>
      <c r="O104" s="68">
        <f>MIN(2.5,ABS((J96-(M97+O97*ABS(J96-M97)/ABS(IF(M104,M93+O97,O93-O97))*MIN(1,N104)))/(MIN(1.52,N104)/1.52*IF(M104,M91,O91)+(1.52-MIN(1.52,N104))/3.04*M92+(1.52-MIN(1.52,N104))/3.04*O92)))</f>
        <v>1.4098670804792643</v>
      </c>
      <c r="P104" s="68">
        <f t="shared" si="1"/>
        <v>0.7538156512848003</v>
      </c>
      <c r="Q104" s="68">
        <f t="shared" si="2"/>
        <v>0.14766627418626382</v>
      </c>
      <c r="R104" s="68">
        <f t="shared" si="3"/>
        <v>0.07928957039388757</v>
      </c>
      <c r="S104" s="68" t="b">
        <f>0&gt;=M97</f>
        <v>0</v>
      </c>
      <c r="T104" s="68">
        <f>ABS((0-O96)/IF(S104,M93,O93))</f>
        <v>0.5430533500421868</v>
      </c>
      <c r="U104" s="68">
        <f>MIN(2.5,ABS((0-(M97+O97*ABS(0-M97)/ABS(IF(S104,M93+O97,O93-O97))*MIN(1,T104)))/(MIN(1.52,T104)/1.52*IF(S104,M91,O91)+(1.52-MIN(1.52,T104))/3.04*M92+(1.52-MIN(1.52,T104))/3.04*O92)))</f>
        <v>0.6299382595093007</v>
      </c>
      <c r="V104" s="68">
        <f t="shared" si="4"/>
        <v>0.8726611952160057</v>
      </c>
      <c r="W104" s="68">
        <f t="shared" si="5"/>
        <v>0.32714574512362476</v>
      </c>
      <c r="X104" s="68">
        <f t="shared" si="6"/>
        <v>0.26436746290569035</v>
      </c>
    </row>
    <row r="105" spans="7:24" s="78" customFormat="1" ht="12.75">
      <c r="G105" s="87"/>
      <c r="H105" s="87"/>
      <c r="I105" s="87"/>
      <c r="J105" s="87"/>
      <c r="K105" s="87"/>
      <c r="O105" s="68">
        <f>MIN(2.5,ABS((J96-O96)/(MIN(1.52,N104)/1.52*IF(M104,M91,O91)+(1.52-MIN(1.52,N104))/3.04*M92+(1.52-MIN(1.52,N104))/3.04*O92)))</f>
        <v>1.4540446024903484</v>
      </c>
      <c r="P105" s="68">
        <f t="shared" si="1"/>
        <v>0.748045177817936</v>
      </c>
      <c r="Q105" s="68">
        <f t="shared" si="2"/>
        <v>0.13861420980396894</v>
      </c>
      <c r="R105" s="68">
        <f t="shared" si="3"/>
        <v>0.0729670621127619</v>
      </c>
      <c r="U105" s="68">
        <f>MIN(2.5,ABS((0-O96)/(MIN(1.52,T104)/1.52*IF(S104,M91,O91)+(1.52-MIN(1.52,T104))/3.04*M92+(1.52-MIN(1.52,T104))/3.04*O92)))</f>
        <v>0.5594297732064546</v>
      </c>
      <c r="V105" s="68">
        <f t="shared" si="4"/>
        <v>0.8852790156978059</v>
      </c>
      <c r="W105" s="68">
        <f t="shared" si="5"/>
        <v>0.3411546921066002</v>
      </c>
      <c r="X105" s="68">
        <f t="shared" si="6"/>
        <v>0.2879342175209048</v>
      </c>
    </row>
    <row r="106" spans="7:11" s="78" customFormat="1" ht="12.75">
      <c r="G106" s="87"/>
      <c r="H106" s="87"/>
      <c r="I106" s="87"/>
      <c r="J106" s="87"/>
      <c r="K106" s="87"/>
    </row>
    <row r="107" spans="7:11" s="78" customFormat="1" ht="12.75">
      <c r="G107" s="87"/>
      <c r="H107" s="87"/>
      <c r="I107" s="87"/>
      <c r="J107" s="87"/>
      <c r="K107" s="87"/>
    </row>
    <row r="108" spans="7:11" s="78" customFormat="1" ht="12.75">
      <c r="G108" s="87"/>
      <c r="H108" s="87"/>
      <c r="I108" s="87"/>
      <c r="J108" s="87"/>
      <c r="K108" s="87"/>
    </row>
    <row r="109" spans="7:11" s="78" customFormat="1" ht="12.75">
      <c r="G109" s="87"/>
      <c r="H109" s="87"/>
      <c r="I109" s="87"/>
      <c r="J109" s="87"/>
      <c r="K109" s="87"/>
    </row>
    <row r="110" spans="2:16" s="78" customFormat="1" ht="12.75">
      <c r="B110" s="96" t="s">
        <v>327</v>
      </c>
      <c r="K110" s="78" t="s">
        <v>2</v>
      </c>
      <c r="L110" s="82"/>
      <c r="M110" s="82"/>
      <c r="N110" s="83"/>
      <c r="O110" s="82"/>
      <c r="P110" s="82"/>
    </row>
    <row r="111" s="78" customFormat="1" ht="12.75"/>
    <row r="112" spans="2:10" s="78" customFormat="1" ht="12.75">
      <c r="B112" s="86" t="s">
        <v>203</v>
      </c>
      <c r="C112" s="86" t="s">
        <v>107</v>
      </c>
      <c r="D112" s="86" t="s">
        <v>303</v>
      </c>
      <c r="E112" s="86" t="s">
        <v>303</v>
      </c>
      <c r="F112" s="86" t="s">
        <v>127</v>
      </c>
      <c r="G112" s="86" t="s">
        <v>193</v>
      </c>
      <c r="H112" s="86" t="s">
        <v>193</v>
      </c>
      <c r="I112" s="86" t="s">
        <v>263</v>
      </c>
      <c r="J112" s="96" t="s">
        <v>318</v>
      </c>
    </row>
    <row r="113" spans="2:11" s="78" customFormat="1" ht="12.75">
      <c r="B113" s="98" t="s">
        <v>316</v>
      </c>
      <c r="C113" s="98" t="s">
        <v>67</v>
      </c>
      <c r="D113" s="98" t="s">
        <v>67</v>
      </c>
      <c r="E113" s="98" t="s">
        <v>67</v>
      </c>
      <c r="F113" s="98" t="s">
        <v>305</v>
      </c>
      <c r="G113" s="98" t="s">
        <v>67</v>
      </c>
      <c r="H113" s="98" t="s">
        <v>67</v>
      </c>
      <c r="I113" s="98" t="s">
        <v>67</v>
      </c>
      <c r="J113" s="98" t="s">
        <v>317</v>
      </c>
      <c r="K113" s="78" t="s">
        <v>2</v>
      </c>
    </row>
    <row r="114" spans="2:10" s="78" customFormat="1" ht="12.75">
      <c r="B114" s="110">
        <v>1.4</v>
      </c>
      <c r="C114" s="111">
        <v>417</v>
      </c>
      <c r="D114" s="112">
        <v>182</v>
      </c>
      <c r="E114" s="112">
        <v>-52</v>
      </c>
      <c r="F114" s="112">
        <v>-287</v>
      </c>
      <c r="G114" s="113">
        <v>-546</v>
      </c>
      <c r="H114" s="113">
        <v>-806</v>
      </c>
      <c r="I114" s="112">
        <v>-1064</v>
      </c>
      <c r="J114" s="98">
        <v>29</v>
      </c>
    </row>
    <row r="115" spans="2:10" s="78" customFormat="1" ht="12.75">
      <c r="B115" s="110">
        <v>1.7</v>
      </c>
      <c r="C115" s="111">
        <v>853</v>
      </c>
      <c r="D115" s="114">
        <v>585</v>
      </c>
      <c r="E115" s="114">
        <v>316</v>
      </c>
      <c r="F115" s="115">
        <v>47</v>
      </c>
      <c r="G115" s="112">
        <v>-256</v>
      </c>
      <c r="H115" s="112">
        <v>-560</v>
      </c>
      <c r="I115" s="112">
        <v>-863</v>
      </c>
      <c r="J115" s="98">
        <v>57</v>
      </c>
    </row>
    <row r="116" spans="2:10" s="78" customFormat="1" ht="12.75">
      <c r="B116" s="110">
        <v>2</v>
      </c>
      <c r="C116" s="115">
        <v>1299</v>
      </c>
      <c r="D116" s="114">
        <v>993</v>
      </c>
      <c r="E116" s="114">
        <v>687</v>
      </c>
      <c r="F116" s="115">
        <v>381</v>
      </c>
      <c r="G116" s="114">
        <v>30</v>
      </c>
      <c r="H116" s="113">
        <v>-321</v>
      </c>
      <c r="I116" s="112">
        <v>-671</v>
      </c>
      <c r="J116" s="98">
        <v>74</v>
      </c>
    </row>
    <row r="117" spans="2:10" s="78" customFormat="1" ht="12.75">
      <c r="B117" s="110">
        <v>2.3</v>
      </c>
      <c r="C117" s="115">
        <v>1751</v>
      </c>
      <c r="D117" s="114">
        <v>1406</v>
      </c>
      <c r="E117" s="114">
        <v>1060</v>
      </c>
      <c r="F117" s="115">
        <v>715</v>
      </c>
      <c r="G117" s="114">
        <v>315</v>
      </c>
      <c r="H117" s="113">
        <v>-86</v>
      </c>
      <c r="I117" s="112">
        <v>-486</v>
      </c>
      <c r="J117" s="98">
        <v>82</v>
      </c>
    </row>
    <row r="118" spans="1:10" s="78" customFormat="1" ht="12.75">
      <c r="A118" s="78" t="s">
        <v>83</v>
      </c>
      <c r="B118" s="110">
        <v>2.6</v>
      </c>
      <c r="C118" s="115">
        <v>2208</v>
      </c>
      <c r="D118" s="114">
        <v>1821</v>
      </c>
      <c r="E118" s="114">
        <v>1435</v>
      </c>
      <c r="F118" s="115">
        <v>1049</v>
      </c>
      <c r="G118" s="114">
        <v>598</v>
      </c>
      <c r="H118" s="112">
        <v>147</v>
      </c>
      <c r="I118" s="112">
        <v>-305</v>
      </c>
      <c r="J118" s="98">
        <v>87</v>
      </c>
    </row>
    <row r="119" s="78" customFormat="1" ht="12.75"/>
    <row r="120" s="78" customFormat="1" ht="12.75"/>
    <row r="121" spans="2:11" s="78" customFormat="1" ht="12.75">
      <c r="B121" s="67" t="s">
        <v>323</v>
      </c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 s="78" customFormat="1" ht="12.75">
      <c r="B122" s="68" t="s">
        <v>324</v>
      </c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 s="78" customFormat="1" ht="12.75">
      <c r="B123" s="68" t="s">
        <v>325</v>
      </c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 s="78" customFormat="1" ht="12.75">
      <c r="B124" s="68" t="s">
        <v>326</v>
      </c>
      <c r="C124" s="68"/>
      <c r="D124" s="68"/>
      <c r="E124" s="68"/>
      <c r="F124" s="68"/>
      <c r="G124" s="68"/>
      <c r="H124" s="68"/>
      <c r="I124" s="68"/>
      <c r="J124" s="68"/>
      <c r="K124" s="68"/>
    </row>
    <row r="125" s="78" customFormat="1" ht="12.75"/>
    <row r="126" s="78" customFormat="1" ht="12.75"/>
    <row r="127" s="78" customFormat="1" ht="12.75"/>
    <row r="128" s="78" customFormat="1" ht="12.75"/>
    <row r="129" s="78" customFormat="1" ht="12.75"/>
    <row r="130" spans="4:9" s="78" customFormat="1" ht="12.75">
      <c r="D130" s="79"/>
      <c r="E130" s="79"/>
      <c r="F130" s="79"/>
      <c r="G130" s="79"/>
      <c r="H130" s="79"/>
      <c r="I130" s="79"/>
    </row>
    <row r="131" spans="4:9" s="78" customFormat="1" ht="12.75">
      <c r="D131" s="79"/>
      <c r="E131" s="79"/>
      <c r="F131" s="79"/>
      <c r="G131" s="79"/>
      <c r="H131" s="79"/>
      <c r="I131" s="79"/>
    </row>
    <row r="132" s="78" customFormat="1" ht="12.75"/>
    <row r="133" spans="2:10" s="78" customFormat="1" ht="12.75">
      <c r="B133" s="116"/>
      <c r="C133" s="116"/>
      <c r="D133" s="116"/>
      <c r="E133" s="116"/>
      <c r="F133" s="116"/>
      <c r="G133" s="116"/>
      <c r="H133" s="116"/>
      <c r="I133" s="116"/>
      <c r="J133" s="117"/>
    </row>
    <row r="134" spans="2:10" s="78" customFormat="1" ht="12.75">
      <c r="B134" s="118"/>
      <c r="C134" s="118"/>
      <c r="D134" s="118"/>
      <c r="E134" s="118"/>
      <c r="F134" s="118"/>
      <c r="G134" s="118"/>
      <c r="H134" s="118"/>
      <c r="I134" s="118"/>
      <c r="J134" s="118"/>
    </row>
    <row r="135" s="78" customFormat="1" ht="12.75">
      <c r="B135" s="119"/>
    </row>
    <row r="136" s="78" customFormat="1" ht="12.75"/>
    <row r="137" s="78" customFormat="1" ht="12.75"/>
    <row r="138" s="78" customFormat="1" ht="12.75"/>
    <row r="139" s="78" customFormat="1" ht="12.75"/>
    <row r="140" s="78" customFormat="1" ht="12.75"/>
    <row r="141" s="78" customFormat="1" ht="12.75"/>
    <row r="142" spans="2:9" s="78" customFormat="1" ht="12.75">
      <c r="B142" s="80"/>
      <c r="C142" s="80"/>
      <c r="D142" s="80"/>
      <c r="E142" s="85"/>
      <c r="F142" s="85"/>
      <c r="G142" s="85"/>
      <c r="H142" s="83"/>
      <c r="I142" s="83"/>
    </row>
    <row r="143" spans="5:9" s="78" customFormat="1" ht="12.75">
      <c r="E143" s="87"/>
      <c r="F143" s="87"/>
      <c r="G143" s="87"/>
      <c r="H143" s="87"/>
      <c r="I143" s="87"/>
    </row>
    <row r="144" spans="5:9" s="78" customFormat="1" ht="12.75">
      <c r="E144" s="84"/>
      <c r="F144" s="84"/>
      <c r="G144" s="90"/>
      <c r="H144" s="84"/>
      <c r="I144" s="84"/>
    </row>
    <row r="145" spans="5:9" s="78" customFormat="1" ht="12.75">
      <c r="E145" s="82"/>
      <c r="F145" s="82"/>
      <c r="G145" s="83"/>
      <c r="H145" s="82"/>
      <c r="I145" s="82"/>
    </row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  <row r="229" s="78" customFormat="1" ht="12.75"/>
    <row r="230" s="78" customFormat="1" ht="12.75"/>
    <row r="231" s="78" customFormat="1" ht="12.75"/>
    <row r="232" s="78" customFormat="1" ht="12.75"/>
    <row r="233" s="78" customFormat="1" ht="12.75"/>
    <row r="234" s="78" customFormat="1" ht="12.75"/>
    <row r="235" s="78" customFormat="1" ht="12.75"/>
    <row r="236" s="78" customFormat="1" ht="12.75"/>
    <row r="237" s="78" customFormat="1" ht="12.75"/>
    <row r="238" s="78" customFormat="1" ht="12.75"/>
    <row r="239" s="78" customFormat="1" ht="12.75"/>
    <row r="240" s="78" customFormat="1" ht="12.75"/>
    <row r="241" s="78" customFormat="1" ht="12.75"/>
    <row r="242" s="78" customFormat="1" ht="12.75"/>
    <row r="243" s="78" customFormat="1" ht="12.75"/>
    <row r="244" s="78" customFormat="1" ht="12.75"/>
    <row r="245" s="78" customFormat="1" ht="12.75"/>
    <row r="246" s="78" customFormat="1" ht="12.75"/>
    <row r="247" s="78" customFormat="1" ht="12.75"/>
    <row r="248" s="78" customFormat="1" ht="12.75"/>
    <row r="249" s="78" customFormat="1" ht="12.75"/>
    <row r="250" s="78" customFormat="1" ht="12.75"/>
    <row r="251" s="78" customFormat="1" ht="12.75"/>
    <row r="252" s="78" customFormat="1" ht="12.75"/>
    <row r="253" s="78" customFormat="1" ht="12.75"/>
    <row r="254" s="78" customFormat="1" ht="12.75"/>
    <row r="255" s="78" customFormat="1" ht="12.75"/>
    <row r="256" s="78" customFormat="1" ht="12.75"/>
    <row r="257" s="78" customFormat="1" ht="12.75"/>
    <row r="258" s="78" customFormat="1" ht="12.75"/>
    <row r="259" s="78" customFormat="1" ht="12.75"/>
    <row r="260" s="78" customFormat="1" ht="12.75"/>
    <row r="261" s="78" customFormat="1" ht="12.75"/>
    <row r="262" s="78" customFormat="1" ht="12.75"/>
    <row r="263" s="78" customFormat="1" ht="12.75"/>
    <row r="264" s="78" customFormat="1" ht="12.75"/>
    <row r="265" s="78" customFormat="1" ht="12.75"/>
    <row r="266" s="78" customFormat="1" ht="12.75"/>
    <row r="267" s="78" customFormat="1" ht="12.75"/>
    <row r="268" s="78" customFormat="1" ht="12.75"/>
    <row r="269" s="78" customFormat="1" ht="12.75"/>
    <row r="270" s="78" customFormat="1" ht="12.75"/>
    <row r="271" s="78" customFormat="1" ht="12.75"/>
    <row r="272" s="78" customFormat="1" ht="12.75"/>
    <row r="273" s="78" customFormat="1" ht="12.75"/>
    <row r="274" s="78" customFormat="1" ht="12.75"/>
    <row r="275" s="78" customFormat="1" ht="12.75"/>
    <row r="276" s="78" customFormat="1" ht="12.75"/>
    <row r="277" s="78" customFormat="1" ht="12.75"/>
    <row r="278" s="78" customFormat="1" ht="12.75"/>
    <row r="279" s="78" customFormat="1" ht="12.75"/>
    <row r="280" s="78" customFormat="1" ht="12.75"/>
    <row r="281" s="78" customFormat="1" ht="12.75"/>
    <row r="282" s="78" customFormat="1" ht="12.75"/>
    <row r="283" s="78" customFormat="1" ht="12.75"/>
    <row r="284" s="78" customFormat="1" ht="12.75"/>
    <row r="285" s="78" customFormat="1" ht="12.75"/>
    <row r="286" s="78" customFormat="1" ht="12.75"/>
    <row r="287" s="78" customFormat="1" ht="12.75"/>
    <row r="288" s="78" customFormat="1" ht="12.75"/>
    <row r="289" s="78" customFormat="1" ht="12.75"/>
    <row r="290" s="78" customFormat="1" ht="12.75"/>
    <row r="291" s="78" customFormat="1" ht="12.75"/>
    <row r="292" s="78" customFormat="1" ht="12.75"/>
    <row r="293" s="78" customFormat="1" ht="12.75"/>
    <row r="294" s="78" customFormat="1" ht="12.75"/>
    <row r="295" s="78" customFormat="1" ht="12.75"/>
    <row r="296" s="78" customFormat="1" ht="12.75"/>
    <row r="297" s="78" customFormat="1" ht="12.75"/>
    <row r="298" s="78" customFormat="1" ht="12.75"/>
    <row r="299" s="78" customFormat="1" ht="12.75"/>
    <row r="300" s="78" customFormat="1" ht="12.75"/>
    <row r="301" s="78" customFormat="1" ht="12.75"/>
    <row r="302" s="78" customFormat="1" ht="12.75"/>
    <row r="303" s="78" customFormat="1" ht="12.75"/>
    <row r="304" s="78" customFormat="1" ht="12.75"/>
    <row r="305" s="78" customFormat="1" ht="12.75"/>
    <row r="306" s="78" customFormat="1" ht="12.75"/>
    <row r="307" s="78" customFormat="1" ht="12.75"/>
    <row r="308" s="78" customFormat="1" ht="12.75"/>
    <row r="309" s="78" customFormat="1" ht="12.75"/>
    <row r="310" s="78" customFormat="1" ht="12.75"/>
    <row r="311" s="78" customFormat="1" ht="12.75"/>
    <row r="312" s="78" customFormat="1" ht="12.75"/>
    <row r="313" s="78" customFormat="1" ht="12.75"/>
    <row r="314" s="78" customFormat="1" ht="12.75"/>
    <row r="315" s="78" customFormat="1" ht="12.75"/>
    <row r="316" s="78" customFormat="1" ht="12.75"/>
    <row r="317" s="78" customFormat="1" ht="12.75"/>
    <row r="318" s="78" customFormat="1" ht="12.75"/>
    <row r="319" s="78" customFormat="1" ht="12.75"/>
    <row r="320" s="78" customFormat="1" ht="12.75"/>
    <row r="321" s="78" customFormat="1" ht="12.75"/>
    <row r="322" s="78" customFormat="1" ht="12.75"/>
    <row r="323" s="78" customFormat="1" ht="12.75"/>
    <row r="324" s="78" customFormat="1" ht="12.75"/>
    <row r="325" s="78" customFormat="1" ht="12.75"/>
    <row r="326" s="78" customFormat="1" ht="12.75"/>
    <row r="327" s="78" customFormat="1" ht="12.75"/>
    <row r="328" s="78" customFormat="1" ht="12.75"/>
    <row r="329" s="78" customFormat="1" ht="12.75"/>
    <row r="330" s="78" customFormat="1" ht="12.75"/>
    <row r="331" s="78" customFormat="1" ht="12.75"/>
    <row r="332" s="78" customFormat="1" ht="12.75"/>
    <row r="333" s="78" customFormat="1" ht="12.75"/>
    <row r="334" s="78" customFormat="1" ht="12.75"/>
    <row r="335" s="78" customFormat="1" ht="12.75"/>
    <row r="336" s="78" customFormat="1" ht="12.75"/>
    <row r="337" s="78" customFormat="1" ht="12.75"/>
    <row r="338" s="78" customFormat="1" ht="12.75"/>
    <row r="339" s="78" customFormat="1" ht="12.75"/>
    <row r="340" s="78" customFormat="1" ht="12.75"/>
    <row r="341" s="78" customFormat="1" ht="12.75"/>
    <row r="342" s="78" customFormat="1" ht="12.75"/>
    <row r="343" s="78" customFormat="1" ht="12.75"/>
    <row r="344" s="78" customFormat="1" ht="12.75"/>
    <row r="345" s="78" customFormat="1" ht="12.75"/>
    <row r="346" s="78" customFormat="1" ht="12.75"/>
    <row r="347" s="78" customFormat="1" ht="12.75"/>
    <row r="348" s="78" customFormat="1" ht="12.75"/>
    <row r="349" s="78" customFormat="1" ht="12.75"/>
    <row r="350" s="78" customFormat="1" ht="12.75"/>
    <row r="351" s="78" customFormat="1" ht="12.75"/>
    <row r="352" s="78" customFormat="1" ht="12.75"/>
    <row r="353" s="78" customFormat="1" ht="12.75"/>
    <row r="354" spans="1:11" ht="12.7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</row>
    <row r="355" spans="1:11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</row>
    <row r="356" spans="1:11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</row>
    <row r="357" spans="1:11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</row>
    <row r="358" spans="1:11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</row>
    <row r="359" spans="1:11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</row>
    <row r="360" spans="1:11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</row>
    <row r="361" spans="1:11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</row>
  </sheetData>
  <sheetProtection/>
  <mergeCells count="8">
    <mergeCell ref="A5:K5"/>
    <mergeCell ref="A7:K7"/>
    <mergeCell ref="B134:J134"/>
    <mergeCell ref="A77:J77"/>
    <mergeCell ref="A88:J88"/>
    <mergeCell ref="A1:K1"/>
    <mergeCell ref="A2:K2"/>
    <mergeCell ref="A3:K3"/>
  </mergeCells>
  <printOptions/>
  <pageMargins left="0.45" right="0.31" top="0.49" bottom="0.47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M23" sqref="M23"/>
    </sheetView>
  </sheetViews>
  <sheetFormatPr defaultColWidth="9.140625" defaultRowHeight="12.75"/>
  <cols>
    <col min="2" max="2" width="21.7109375" style="0" customWidth="1"/>
    <col min="4" max="4" width="10.8515625" style="0" customWidth="1"/>
    <col min="5" max="5" width="11.7109375" style="0" customWidth="1"/>
    <col min="6" max="6" width="10.140625" style="0" customWidth="1"/>
    <col min="8" max="8" width="6.7109375" style="0" customWidth="1"/>
    <col min="9" max="9" width="14.57421875" style="0" customWidth="1"/>
    <col min="10" max="10" width="14.7109375" style="0" customWidth="1"/>
    <col min="11" max="11" width="14.00390625" style="0" customWidth="1"/>
    <col min="12" max="12" width="12.421875" style="0" customWidth="1"/>
    <col min="13" max="13" width="9.8515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0"/>
      <c r="E8" s="1"/>
      <c r="F8" s="1"/>
      <c r="G8" s="1"/>
      <c r="H8" s="1"/>
      <c r="I8" s="1"/>
      <c r="J8" s="1"/>
      <c r="K8" s="1"/>
      <c r="L8" s="1"/>
      <c r="M8" s="6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"/>
      <c r="B9" s="1"/>
      <c r="C9" s="1"/>
      <c r="D9" s="10"/>
      <c r="E9" s="1"/>
      <c r="F9" s="1"/>
      <c r="G9" s="1"/>
      <c r="H9" s="1"/>
      <c r="I9" s="1"/>
      <c r="J9" s="61"/>
      <c r="K9" s="1"/>
      <c r="L9" s="1"/>
      <c r="M9" s="6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"/>
      <c r="C10" s="1"/>
      <c r="D10" s="10"/>
      <c r="E10" s="1"/>
      <c r="F10" s="1"/>
      <c r="G10" s="1"/>
      <c r="H10" s="1"/>
      <c r="I10" s="65"/>
      <c r="J10" s="66"/>
      <c r="K10" s="34"/>
      <c r="L10" s="34"/>
      <c r="M10" s="66"/>
      <c r="N10" s="66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"/>
      <c r="C11" s="1"/>
      <c r="D11" s="10"/>
      <c r="E11" s="1"/>
      <c r="F11" s="1"/>
      <c r="G11" s="1"/>
      <c r="H11" s="1"/>
      <c r="I11" s="65"/>
      <c r="J11" s="66"/>
      <c r="K11" s="34"/>
      <c r="L11" s="34"/>
      <c r="M11" s="66"/>
      <c r="N11" s="66"/>
      <c r="O11" s="1"/>
      <c r="P11" s="1"/>
      <c r="Q11" s="1"/>
      <c r="R11" s="1"/>
      <c r="S11" s="1"/>
      <c r="T11" s="1"/>
      <c r="U11" s="1"/>
      <c r="V11" s="1"/>
    </row>
    <row r="12" spans="1:22" ht="12.75">
      <c r="A12" s="1"/>
      <c r="B12" s="1"/>
      <c r="C12" s="1"/>
      <c r="D12" s="10"/>
      <c r="E12" s="1"/>
      <c r="F12" s="1"/>
      <c r="G12" s="1"/>
      <c r="H12" s="1"/>
      <c r="I12" s="65"/>
      <c r="J12" s="66"/>
      <c r="K12" s="34"/>
      <c r="L12" s="34"/>
      <c r="M12" s="66"/>
      <c r="N12" s="66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34"/>
      <c r="C13" s="34"/>
      <c r="D13" s="63"/>
      <c r="E13" s="34"/>
      <c r="F13" s="34"/>
      <c r="G13" s="1"/>
      <c r="H13" s="1"/>
      <c r="I13" s="65"/>
      <c r="J13" s="66"/>
      <c r="K13" s="34"/>
      <c r="L13" s="34"/>
      <c r="M13" s="66"/>
      <c r="N13" s="66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1"/>
      <c r="C14" s="1"/>
      <c r="D14" s="10"/>
      <c r="E14" s="1"/>
      <c r="F14" s="1"/>
      <c r="G14" s="1"/>
      <c r="H14" s="1"/>
      <c r="I14" s="65"/>
      <c r="J14" s="66"/>
      <c r="K14" s="34"/>
      <c r="L14" s="34"/>
      <c r="M14" s="66"/>
      <c r="N14" s="66"/>
      <c r="O14" s="1"/>
      <c r="P14" s="1"/>
      <c r="Q14" s="1"/>
      <c r="R14" s="1"/>
      <c r="S14" s="1"/>
      <c r="T14" s="1"/>
      <c r="U14" s="1"/>
      <c r="V14" s="1"/>
    </row>
    <row r="15" spans="1:22" ht="12.75">
      <c r="A15" s="1"/>
      <c r="B15" s="1"/>
      <c r="C15" s="1"/>
      <c r="D15" s="10"/>
      <c r="E15" s="1"/>
      <c r="F15" s="1"/>
      <c r="G15" s="1"/>
      <c r="H15" s="1"/>
      <c r="I15" s="62"/>
      <c r="J15" s="61"/>
      <c r="K15" s="1"/>
      <c r="L15" s="1"/>
      <c r="M15" s="61"/>
      <c r="N15" s="61"/>
      <c r="O15" s="1"/>
      <c r="P15" s="1"/>
      <c r="Q15" s="1"/>
      <c r="R15" s="1"/>
      <c r="S15" s="1"/>
      <c r="T15" s="1"/>
      <c r="U15" s="1"/>
      <c r="V15" s="1"/>
    </row>
    <row r="16" spans="1:22" ht="12.75">
      <c r="A16" s="1"/>
      <c r="B16" s="1"/>
      <c r="C16" s="1"/>
      <c r="D16" s="10"/>
      <c r="E16" s="1"/>
      <c r="F16" s="1"/>
      <c r="G16" s="1"/>
      <c r="H16" s="1"/>
      <c r="I16" s="62"/>
      <c r="J16" s="61"/>
      <c r="K16" s="1"/>
      <c r="L16" s="1"/>
      <c r="M16" s="61"/>
      <c r="N16" s="61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"/>
      <c r="C17" s="1"/>
      <c r="D17" s="10"/>
      <c r="E17" s="1"/>
      <c r="F17" s="1"/>
      <c r="G17" s="1"/>
      <c r="H17" s="1"/>
      <c r="I17" s="62"/>
      <c r="J17" s="61"/>
      <c r="K17" s="1"/>
      <c r="L17" s="1"/>
      <c r="M17" s="61"/>
      <c r="N17" s="61"/>
      <c r="O17" s="1"/>
      <c r="P17" s="1"/>
      <c r="Q17" s="1"/>
      <c r="R17" s="1"/>
      <c r="S17" s="1"/>
      <c r="T17" s="1"/>
      <c r="U17" s="1"/>
      <c r="V17" s="1"/>
    </row>
    <row r="18" spans="1:22" ht="12.75">
      <c r="A18" s="1"/>
      <c r="B18" s="34"/>
      <c r="C18" s="34"/>
      <c r="D18" s="63"/>
      <c r="E18" s="34"/>
      <c r="F18" s="34"/>
      <c r="G18" s="1"/>
      <c r="H18" s="1"/>
      <c r="I18" s="62"/>
      <c r="J18" s="61"/>
      <c r="K18" s="1"/>
      <c r="L18" s="1"/>
      <c r="M18" s="61"/>
      <c r="N18" s="61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1"/>
      <c r="C19" s="1"/>
      <c r="D19" s="10"/>
      <c r="E19" s="1"/>
      <c r="F19" s="1"/>
      <c r="G19" s="1"/>
      <c r="H19" s="1"/>
      <c r="I19" s="62"/>
      <c r="J19" s="64"/>
      <c r="K19" s="1"/>
      <c r="L19" s="1"/>
      <c r="M19" s="61"/>
      <c r="N19" s="6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34"/>
      <c r="C26" s="34"/>
      <c r="D26" s="63"/>
      <c r="E26" s="34"/>
      <c r="F26" s="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20" t="s">
        <v>205</v>
      </c>
      <c r="B1" s="1" t="s">
        <v>84</v>
      </c>
      <c r="C1" s="9"/>
      <c r="D1" s="20" t="s">
        <v>205</v>
      </c>
      <c r="E1" s="1" t="s">
        <v>84</v>
      </c>
      <c r="F1" s="9"/>
      <c r="G1" s="20" t="s">
        <v>205</v>
      </c>
      <c r="H1" s="1" t="s">
        <v>84</v>
      </c>
    </row>
    <row r="2" spans="1:8" ht="12.75">
      <c r="A2" s="3" t="s">
        <v>92</v>
      </c>
      <c r="B2" s="1" t="s">
        <v>88</v>
      </c>
      <c r="C2" s="9"/>
      <c r="D2" s="3" t="s">
        <v>92</v>
      </c>
      <c r="E2" s="1" t="s">
        <v>85</v>
      </c>
      <c r="F2" s="9"/>
      <c r="G2" s="3" t="s">
        <v>92</v>
      </c>
      <c r="H2" s="1" t="s">
        <v>91</v>
      </c>
    </row>
    <row r="3" spans="1:8" ht="12.75">
      <c r="A3" s="3" t="s">
        <v>92</v>
      </c>
      <c r="B3" s="1" t="s">
        <v>86</v>
      </c>
      <c r="D3" s="3" t="s">
        <v>92</v>
      </c>
      <c r="E3" s="1" t="s">
        <v>87</v>
      </c>
      <c r="G3" s="3" t="s">
        <v>92</v>
      </c>
      <c r="H3" s="1" t="s">
        <v>86</v>
      </c>
    </row>
    <row r="4" spans="1:8" ht="12.75">
      <c r="A4" s="3" t="s">
        <v>92</v>
      </c>
      <c r="B4" s="1" t="s">
        <v>89</v>
      </c>
      <c r="D4" s="3" t="s">
        <v>92</v>
      </c>
      <c r="E4" s="1" t="s">
        <v>90</v>
      </c>
      <c r="G4" s="3" t="s">
        <v>92</v>
      </c>
      <c r="H4" s="1" t="s">
        <v>89</v>
      </c>
    </row>
    <row r="5" ht="12.75">
      <c r="A5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I57"/>
  <sheetViews>
    <sheetView zoomScalePageLayoutView="0" workbookViewId="0" topLeftCell="B1">
      <selection activeCell="L16" sqref="L16"/>
    </sheetView>
  </sheetViews>
  <sheetFormatPr defaultColWidth="9.140625" defaultRowHeight="12.75"/>
  <cols>
    <col min="1" max="1" width="9.140625" style="1" customWidth="1"/>
    <col min="2" max="2" width="27.28125" style="1" customWidth="1"/>
    <col min="3" max="3" width="3.57421875" style="1" customWidth="1"/>
    <col min="4" max="4" width="6.28125" style="1" customWidth="1"/>
    <col min="5" max="5" width="9.7109375" style="1" customWidth="1"/>
    <col min="6" max="12" width="9.140625" style="1" customWidth="1"/>
    <col min="13" max="13" width="12.57421875" style="1" customWidth="1"/>
    <col min="14" max="14" width="11.7109375" style="1" customWidth="1"/>
    <col min="15" max="15" width="11.421875" style="1" customWidth="1"/>
    <col min="16" max="16" width="11.8515625" style="1" customWidth="1"/>
    <col min="17" max="17" width="12.140625" style="1" customWidth="1"/>
    <col min="18" max="16384" width="9.140625" style="1" customWidth="1"/>
  </cols>
  <sheetData>
    <row r="2" ht="12.75">
      <c r="B2" s="47" t="s">
        <v>310</v>
      </c>
    </row>
    <row r="4" spans="1:9" ht="15.75">
      <c r="A4" s="72" t="s">
        <v>306</v>
      </c>
      <c r="B4" s="70"/>
      <c r="C4" s="70"/>
      <c r="D4" s="70"/>
      <c r="E4" s="70"/>
      <c r="F4" s="70"/>
      <c r="G4" s="70"/>
      <c r="H4" s="70"/>
      <c r="I4" s="70"/>
    </row>
    <row r="5" spans="2:8" ht="15.75">
      <c r="B5" s="72" t="s">
        <v>329</v>
      </c>
      <c r="C5" s="73"/>
      <c r="D5" s="73"/>
      <c r="E5" s="73"/>
      <c r="F5" s="73"/>
      <c r="G5" s="73"/>
      <c r="H5" s="73"/>
    </row>
    <row r="8" spans="2:8" ht="12.75">
      <c r="B8" s="21" t="s">
        <v>186</v>
      </c>
      <c r="C8" s="21"/>
      <c r="D8" s="26"/>
      <c r="E8" s="12" t="s">
        <v>253</v>
      </c>
      <c r="F8" s="12" t="s">
        <v>207</v>
      </c>
      <c r="G8" s="6" t="s">
        <v>202</v>
      </c>
      <c r="H8" s="5" t="s">
        <v>97</v>
      </c>
    </row>
    <row r="9" spans="2:8" ht="12.75">
      <c r="B9" s="26" t="s">
        <v>285</v>
      </c>
      <c r="C9" s="26"/>
      <c r="D9" s="26"/>
      <c r="E9" s="27" t="s">
        <v>93</v>
      </c>
      <c r="F9" s="30">
        <v>1</v>
      </c>
      <c r="G9" s="33">
        <v>0</v>
      </c>
      <c r="H9" s="30">
        <f aca="true" t="shared" si="0" ref="H9:H22">F9*G9</f>
        <v>0</v>
      </c>
    </row>
    <row r="10" spans="2:8" ht="12.75">
      <c r="B10" s="26" t="s">
        <v>173</v>
      </c>
      <c r="C10" s="26"/>
      <c r="D10" s="26"/>
      <c r="E10" s="27" t="s">
        <v>230</v>
      </c>
      <c r="F10" s="30">
        <v>1</v>
      </c>
      <c r="G10" s="30">
        <v>30</v>
      </c>
      <c r="H10" s="30">
        <f t="shared" si="0"/>
        <v>30</v>
      </c>
    </row>
    <row r="11" spans="2:8" ht="12.75">
      <c r="B11" s="26" t="s">
        <v>131</v>
      </c>
      <c r="C11" s="26"/>
      <c r="D11" s="26"/>
      <c r="E11" s="27" t="s">
        <v>170</v>
      </c>
      <c r="F11" s="30">
        <v>12</v>
      </c>
      <c r="G11" s="30">
        <v>3.33</v>
      </c>
      <c r="H11" s="30">
        <f t="shared" si="0"/>
        <v>39.96</v>
      </c>
    </row>
    <row r="12" spans="2:8" ht="12.75">
      <c r="B12" s="26" t="s">
        <v>269</v>
      </c>
      <c r="C12" s="26"/>
      <c r="D12" s="26"/>
      <c r="E12" s="27" t="s">
        <v>170</v>
      </c>
      <c r="F12" s="30">
        <v>24</v>
      </c>
      <c r="G12" s="30">
        <v>0.35</v>
      </c>
      <c r="H12" s="30">
        <f t="shared" si="0"/>
        <v>8.399999999999999</v>
      </c>
    </row>
    <row r="13" spans="2:8" ht="12.75">
      <c r="B13" s="26" t="s">
        <v>136</v>
      </c>
      <c r="C13" s="26"/>
      <c r="D13" s="26"/>
      <c r="E13" s="27" t="s">
        <v>93</v>
      </c>
      <c r="F13" s="30">
        <v>3</v>
      </c>
      <c r="G13" s="30">
        <v>2</v>
      </c>
      <c r="H13" s="30">
        <f t="shared" si="0"/>
        <v>6</v>
      </c>
    </row>
    <row r="14" spans="2:8" ht="12.75">
      <c r="B14" s="26" t="s">
        <v>148</v>
      </c>
      <c r="C14" s="26"/>
      <c r="D14" s="26"/>
      <c r="E14" s="27" t="s">
        <v>93</v>
      </c>
      <c r="F14" s="30">
        <v>3</v>
      </c>
      <c r="G14" s="30">
        <v>29.25</v>
      </c>
      <c r="H14" s="30">
        <f t="shared" si="0"/>
        <v>87.75</v>
      </c>
    </row>
    <row r="15" spans="2:8" ht="12.75">
      <c r="B15" s="26" t="s">
        <v>220</v>
      </c>
      <c r="C15" s="26"/>
      <c r="D15" s="26"/>
      <c r="E15" s="27" t="s">
        <v>93</v>
      </c>
      <c r="F15" s="30">
        <v>2</v>
      </c>
      <c r="G15" s="30">
        <f>15</f>
        <v>15</v>
      </c>
      <c r="H15" s="30">
        <f t="shared" si="0"/>
        <v>30</v>
      </c>
    </row>
    <row r="16" spans="2:8" ht="12.75">
      <c r="B16" s="26" t="s">
        <v>288</v>
      </c>
      <c r="C16" s="26"/>
      <c r="D16" s="26"/>
      <c r="E16" s="27" t="s">
        <v>249</v>
      </c>
      <c r="F16" s="30">
        <v>27</v>
      </c>
      <c r="G16" s="30">
        <v>19</v>
      </c>
      <c r="H16" s="30">
        <f t="shared" si="0"/>
        <v>513</v>
      </c>
    </row>
    <row r="17" spans="2:8" ht="12.75">
      <c r="B17" s="26" t="s">
        <v>168</v>
      </c>
      <c r="C17" s="26"/>
      <c r="D17" s="26"/>
      <c r="E17" s="27" t="s">
        <v>152</v>
      </c>
      <c r="F17" s="30">
        <v>20</v>
      </c>
      <c r="G17" s="30">
        <v>8</v>
      </c>
      <c r="H17" s="30">
        <f t="shared" si="0"/>
        <v>160</v>
      </c>
    </row>
    <row r="18" spans="2:8" ht="12.75">
      <c r="B18" s="26" t="s">
        <v>54</v>
      </c>
      <c r="C18" s="26"/>
      <c r="D18" s="26"/>
      <c r="E18" s="27" t="s">
        <v>93</v>
      </c>
      <c r="F18" s="30">
        <v>1</v>
      </c>
      <c r="G18" s="30">
        <f>Mach!I16</f>
        <v>29.975172305764413</v>
      </c>
      <c r="H18" s="30">
        <f t="shared" si="0"/>
        <v>29.975172305764413</v>
      </c>
    </row>
    <row r="19" spans="2:8" ht="12.75">
      <c r="B19" s="26" t="s">
        <v>60</v>
      </c>
      <c r="C19" s="26"/>
      <c r="D19" s="26"/>
      <c r="E19" s="27" t="s">
        <v>93</v>
      </c>
      <c r="F19" s="30">
        <v>1</v>
      </c>
      <c r="G19" s="30">
        <v>37</v>
      </c>
      <c r="H19" s="30">
        <f t="shared" si="0"/>
        <v>37</v>
      </c>
    </row>
    <row r="20" spans="2:8" ht="12.75">
      <c r="B20" s="26" t="s">
        <v>164</v>
      </c>
      <c r="C20" s="26"/>
      <c r="D20" s="26"/>
      <c r="E20" s="27" t="s">
        <v>93</v>
      </c>
      <c r="F20" s="30">
        <v>1</v>
      </c>
      <c r="G20" s="30">
        <f>Bud!H35</f>
        <v>100</v>
      </c>
      <c r="H20" s="30">
        <f t="shared" si="0"/>
        <v>100</v>
      </c>
    </row>
    <row r="21" spans="2:8" ht="12.75">
      <c r="B21" s="26" t="s">
        <v>290</v>
      </c>
      <c r="C21" s="26"/>
      <c r="D21" s="26"/>
      <c r="E21" s="27" t="s">
        <v>93</v>
      </c>
      <c r="F21" s="33">
        <v>1</v>
      </c>
      <c r="G21" s="33">
        <v>0</v>
      </c>
      <c r="H21" s="30">
        <f t="shared" si="0"/>
        <v>0</v>
      </c>
    </row>
    <row r="22" spans="2:8" ht="12.75">
      <c r="B22" s="26" t="s">
        <v>160</v>
      </c>
      <c r="C22" s="26"/>
      <c r="D22" s="26"/>
      <c r="E22" s="27"/>
      <c r="F22" s="30">
        <f>SUM(H7:H19)</f>
        <v>942.0851723057644</v>
      </c>
      <c r="G22" s="33">
        <v>0.065</v>
      </c>
      <c r="H22" s="30">
        <f t="shared" si="0"/>
        <v>61.235536199874694</v>
      </c>
    </row>
    <row r="23" spans="2:8" ht="13.5" thickBot="1">
      <c r="B23" s="21" t="s">
        <v>242</v>
      </c>
      <c r="C23" s="26"/>
      <c r="D23" s="26"/>
      <c r="E23" s="27"/>
      <c r="F23" s="33"/>
      <c r="G23" s="33"/>
      <c r="H23" s="39">
        <f>SUM(H10:H22)</f>
        <v>1103.3207085056392</v>
      </c>
    </row>
    <row r="24" spans="2:8" ht="13.5" thickTop="1">
      <c r="B24" s="26"/>
      <c r="C24" s="26"/>
      <c r="D24" s="26"/>
      <c r="E24" s="27"/>
      <c r="F24" s="27"/>
      <c r="G24" s="27"/>
      <c r="H24" s="43"/>
    </row>
    <row r="25" spans="2:8" ht="12.75">
      <c r="B25" s="21" t="s">
        <v>134</v>
      </c>
      <c r="C25" s="21"/>
      <c r="D25" s="26"/>
      <c r="E25" s="12" t="s">
        <v>253</v>
      </c>
      <c r="F25" s="12" t="s">
        <v>207</v>
      </c>
      <c r="G25" s="6" t="s">
        <v>202</v>
      </c>
      <c r="H25" s="5" t="s">
        <v>97</v>
      </c>
    </row>
    <row r="26" spans="2:8" ht="12.75">
      <c r="B26" s="26"/>
      <c r="C26" s="26"/>
      <c r="D26" s="26"/>
      <c r="E26" s="27"/>
      <c r="F26" s="27"/>
      <c r="G26" s="27"/>
      <c r="H26" s="27"/>
    </row>
    <row r="27" spans="2:8" ht="12.75">
      <c r="B27" s="26" t="s">
        <v>247</v>
      </c>
      <c r="C27" s="26"/>
      <c r="D27" s="26"/>
      <c r="E27" s="27" t="s">
        <v>93</v>
      </c>
      <c r="F27" s="30">
        <f>FxdCost!I34</f>
        <v>279.197875</v>
      </c>
      <c r="G27" s="30">
        <v>1</v>
      </c>
      <c r="H27" s="30">
        <f>F27*G27</f>
        <v>279.197875</v>
      </c>
    </row>
    <row r="28" spans="2:8" ht="12.75">
      <c r="B28" s="26" t="s">
        <v>177</v>
      </c>
      <c r="C28" s="26"/>
      <c r="D28" s="26"/>
      <c r="E28" s="27" t="s">
        <v>93</v>
      </c>
      <c r="F28" s="30">
        <f>H23</f>
        <v>1103.3207085056392</v>
      </c>
      <c r="G28" s="30">
        <v>0.15</v>
      </c>
      <c r="H28" s="30">
        <f>F28*G28</f>
        <v>165.49810627584588</v>
      </c>
    </row>
    <row r="29" spans="2:8" ht="12.75">
      <c r="B29" s="26" t="s">
        <v>164</v>
      </c>
      <c r="C29" s="26"/>
      <c r="D29" s="26"/>
      <c r="E29" s="27" t="s">
        <v>93</v>
      </c>
      <c r="F29" s="30">
        <v>1</v>
      </c>
      <c r="G29" s="30">
        <f>Drip!I32</f>
        <v>32.55446833333333</v>
      </c>
      <c r="H29" s="30">
        <f>F29*G29</f>
        <v>32.55446833333333</v>
      </c>
    </row>
    <row r="30" spans="2:8" ht="13.5" thickBot="1">
      <c r="B30" s="21" t="s">
        <v>237</v>
      </c>
      <c r="C30" s="26"/>
      <c r="D30" s="26"/>
      <c r="E30" s="27" t="s">
        <v>67</v>
      </c>
      <c r="F30" s="27"/>
      <c r="G30" s="33"/>
      <c r="H30" s="39">
        <f>SUM(H27:H29)</f>
        <v>477.2504496091792</v>
      </c>
    </row>
    <row r="31" spans="2:8" ht="13.5" thickTop="1">
      <c r="B31" s="26"/>
      <c r="C31" s="26"/>
      <c r="D31" s="26"/>
      <c r="E31" s="27"/>
      <c r="F31" s="27"/>
      <c r="G31" s="27"/>
      <c r="H31" s="43"/>
    </row>
    <row r="32" spans="2:8" ht="13.5" thickBot="1">
      <c r="B32" s="9" t="s">
        <v>236</v>
      </c>
      <c r="E32" s="27" t="s">
        <v>67</v>
      </c>
      <c r="F32" s="3"/>
      <c r="G32" s="3"/>
      <c r="H32" s="41">
        <f>H23+H30</f>
        <v>1580.5711581148184</v>
      </c>
    </row>
    <row r="33" ht="13.5" thickTop="1">
      <c r="H33" s="36"/>
    </row>
    <row r="36" ht="12.75">
      <c r="B36" s="1" t="s">
        <v>286</v>
      </c>
    </row>
    <row r="37" ht="12.75">
      <c r="B37" s="26" t="s">
        <v>307</v>
      </c>
    </row>
    <row r="38" spans="1:2" ht="12.75">
      <c r="A38" s="1" t="s">
        <v>83</v>
      </c>
      <c r="B38" s="1" t="s">
        <v>289</v>
      </c>
    </row>
    <row r="41" ht="12.75"/>
    <row r="42" ht="12.75"/>
    <row r="43" ht="12.75"/>
    <row r="44" ht="12.75"/>
    <row r="52" spans="2:6" ht="12.75">
      <c r="B52" s="42"/>
      <c r="C52" s="42"/>
      <c r="D52" s="42"/>
      <c r="E52" s="42"/>
      <c r="F52" s="42"/>
    </row>
    <row r="53" spans="2:6" ht="12.75">
      <c r="B53" s="26"/>
      <c r="C53" s="10"/>
      <c r="D53" s="10"/>
      <c r="E53" s="10"/>
      <c r="F53" s="10"/>
    </row>
    <row r="54" spans="2:6" ht="12.75">
      <c r="B54" s="26"/>
      <c r="C54" s="10"/>
      <c r="D54" s="10"/>
      <c r="E54" s="10"/>
      <c r="F54" s="10"/>
    </row>
    <row r="55" spans="2:6" ht="12.75">
      <c r="B55" s="26"/>
      <c r="C55" s="10"/>
      <c r="D55" s="10"/>
      <c r="E55" s="10"/>
      <c r="F55" s="10"/>
    </row>
    <row r="56" spans="2:6" ht="12.75">
      <c r="B56" s="26"/>
      <c r="C56" s="10"/>
      <c r="D56" s="10"/>
      <c r="E56" s="10"/>
      <c r="F56" s="10"/>
    </row>
    <row r="57" spans="2:6" ht="12.75">
      <c r="B57" s="26"/>
      <c r="C57" s="10"/>
      <c r="D57" s="10"/>
      <c r="E57" s="10"/>
      <c r="F57" s="10"/>
    </row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H3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47" t="s">
        <v>310</v>
      </c>
    </row>
    <row r="4" spans="2:8" ht="15.75">
      <c r="B4" s="69" t="s">
        <v>125</v>
      </c>
      <c r="C4" s="74"/>
      <c r="D4" s="74"/>
      <c r="E4" s="74"/>
      <c r="F4" s="74"/>
      <c r="G4" s="74"/>
      <c r="H4" s="74"/>
    </row>
    <row r="5" spans="2:8" ht="15.75">
      <c r="B5" s="72" t="s">
        <v>330</v>
      </c>
      <c r="C5" s="74"/>
      <c r="D5" s="74"/>
      <c r="E5" s="74"/>
      <c r="F5" s="74"/>
      <c r="G5" s="74"/>
      <c r="H5" s="74"/>
    </row>
    <row r="6" spans="2:4" ht="12.75">
      <c r="B6" s="12"/>
      <c r="C6" s="3"/>
      <c r="D6" s="3"/>
    </row>
    <row r="8" spans="2:8" ht="12.75">
      <c r="B8" s="9" t="s">
        <v>186</v>
      </c>
      <c r="E8" s="12" t="s">
        <v>253</v>
      </c>
      <c r="F8" s="12" t="s">
        <v>207</v>
      </c>
      <c r="G8" s="6" t="s">
        <v>202</v>
      </c>
      <c r="H8" s="5" t="s">
        <v>97</v>
      </c>
    </row>
    <row r="9" spans="7:8" ht="12.75">
      <c r="G9" s="42" t="s">
        <v>70</v>
      </c>
      <c r="H9" s="42" t="s">
        <v>70</v>
      </c>
    </row>
    <row r="10" spans="2:8" ht="12.75">
      <c r="B10" s="1" t="s">
        <v>174</v>
      </c>
      <c r="E10" s="1" t="s">
        <v>230</v>
      </c>
      <c r="F10" s="10">
        <v>0.5</v>
      </c>
      <c r="G10" s="10">
        <v>30</v>
      </c>
      <c r="H10" s="10">
        <f aca="true" t="shared" si="0" ref="H10:H23">F10*G10</f>
        <v>15</v>
      </c>
    </row>
    <row r="11" spans="2:8" ht="12.75">
      <c r="B11" s="1" t="s">
        <v>131</v>
      </c>
      <c r="E11" s="1" t="s">
        <v>250</v>
      </c>
      <c r="F11" s="10">
        <v>81</v>
      </c>
      <c r="G11" s="10">
        <f>Yr1!G11</f>
        <v>3.33</v>
      </c>
      <c r="H11" s="10">
        <f t="shared" si="0"/>
        <v>269.73</v>
      </c>
    </row>
    <row r="12" spans="2:8" ht="12.75">
      <c r="B12" s="1" t="s">
        <v>270</v>
      </c>
      <c r="E12" s="1" t="s">
        <v>170</v>
      </c>
      <c r="F12" s="10">
        <v>35</v>
      </c>
      <c r="G12" s="10">
        <f>Yr1!G12</f>
        <v>0.35</v>
      </c>
      <c r="H12" s="10">
        <f t="shared" si="0"/>
        <v>12.25</v>
      </c>
    </row>
    <row r="13" spans="2:8" ht="12.75">
      <c r="B13" s="1" t="s">
        <v>136</v>
      </c>
      <c r="E13" s="1" t="s">
        <v>93</v>
      </c>
      <c r="F13" s="10">
        <v>2</v>
      </c>
      <c r="G13" s="10">
        <v>2</v>
      </c>
      <c r="H13" s="10">
        <f t="shared" si="0"/>
        <v>4</v>
      </c>
    </row>
    <row r="14" spans="2:8" ht="12.75">
      <c r="B14" s="1" t="s">
        <v>148</v>
      </c>
      <c r="E14" s="1" t="s">
        <v>103</v>
      </c>
      <c r="F14" s="10">
        <v>3</v>
      </c>
      <c r="G14" s="10">
        <f>Yr1!G14</f>
        <v>29.25</v>
      </c>
      <c r="H14" s="10">
        <f t="shared" si="0"/>
        <v>87.75</v>
      </c>
    </row>
    <row r="15" spans="2:8" ht="12.75">
      <c r="B15" s="1" t="s">
        <v>250</v>
      </c>
      <c r="E15" s="1" t="s">
        <v>93</v>
      </c>
      <c r="F15" s="10">
        <v>2</v>
      </c>
      <c r="G15" s="10">
        <v>15</v>
      </c>
      <c r="H15" s="10">
        <f t="shared" si="0"/>
        <v>30</v>
      </c>
    </row>
    <row r="16" spans="2:8" ht="12.75">
      <c r="B16" s="1" t="s">
        <v>140</v>
      </c>
      <c r="E16" s="1" t="s">
        <v>103</v>
      </c>
      <c r="F16" s="10">
        <v>3</v>
      </c>
      <c r="G16" s="10">
        <v>12</v>
      </c>
      <c r="H16" s="10">
        <f t="shared" si="0"/>
        <v>36</v>
      </c>
    </row>
    <row r="17" spans="2:8" ht="12.75">
      <c r="B17" s="1" t="s">
        <v>154</v>
      </c>
      <c r="E17" s="1" t="s">
        <v>103</v>
      </c>
      <c r="F17" s="10">
        <v>3</v>
      </c>
      <c r="G17" s="10">
        <v>25</v>
      </c>
      <c r="H17" s="10">
        <f t="shared" si="0"/>
        <v>75</v>
      </c>
    </row>
    <row r="18" spans="2:8" ht="12.75">
      <c r="B18" s="1" t="s">
        <v>168</v>
      </c>
      <c r="E18" s="1" t="s">
        <v>152</v>
      </c>
      <c r="F18" s="10">
        <v>20</v>
      </c>
      <c r="G18" s="10">
        <v>10</v>
      </c>
      <c r="H18" s="10">
        <f t="shared" si="0"/>
        <v>200</v>
      </c>
    </row>
    <row r="19" spans="2:8" ht="12.75">
      <c r="B19" s="1" t="s">
        <v>138</v>
      </c>
      <c r="E19" s="1" t="s">
        <v>93</v>
      </c>
      <c r="F19" s="10">
        <v>37</v>
      </c>
      <c r="G19" s="10">
        <v>2.5</v>
      </c>
      <c r="H19" s="10">
        <f t="shared" si="0"/>
        <v>92.5</v>
      </c>
    </row>
    <row r="20" spans="2:8" ht="12.75">
      <c r="B20" s="1" t="s">
        <v>209</v>
      </c>
      <c r="E20" s="1" t="s">
        <v>93</v>
      </c>
      <c r="F20" s="10">
        <v>1</v>
      </c>
      <c r="G20" s="10">
        <v>37</v>
      </c>
      <c r="H20" s="10">
        <f t="shared" si="0"/>
        <v>37</v>
      </c>
    </row>
    <row r="21" spans="2:8" ht="12.75">
      <c r="B21" s="1" t="s">
        <v>164</v>
      </c>
      <c r="E21" s="1" t="s">
        <v>93</v>
      </c>
      <c r="F21" s="10">
        <v>1</v>
      </c>
      <c r="G21" s="10">
        <f>Bud!H35</f>
        <v>100</v>
      </c>
      <c r="H21" s="10">
        <f t="shared" si="0"/>
        <v>100</v>
      </c>
    </row>
    <row r="22" spans="2:8" ht="12.75">
      <c r="B22" s="1" t="s">
        <v>169</v>
      </c>
      <c r="E22" s="1" t="s">
        <v>93</v>
      </c>
      <c r="F22" s="10">
        <v>1</v>
      </c>
      <c r="G22" s="1">
        <v>200</v>
      </c>
      <c r="H22" s="10">
        <f t="shared" si="0"/>
        <v>200</v>
      </c>
    </row>
    <row r="23" spans="2:8" ht="12.75">
      <c r="B23" s="1" t="s">
        <v>160</v>
      </c>
      <c r="E23" s="26" t="s">
        <v>67</v>
      </c>
      <c r="F23" s="4">
        <f>SUM(H9:H20)</f>
        <v>859.23</v>
      </c>
      <c r="G23" s="1">
        <v>0.065</v>
      </c>
      <c r="H23" s="10">
        <f t="shared" si="0"/>
        <v>55.84995</v>
      </c>
    </row>
    <row r="24" spans="2:8" ht="13.5" thickBot="1">
      <c r="B24" s="9" t="s">
        <v>244</v>
      </c>
      <c r="E24" s="26" t="s">
        <v>67</v>
      </c>
      <c r="H24" s="44">
        <f>SUM(H10:H23)</f>
        <v>1215.07995</v>
      </c>
    </row>
    <row r="25" ht="13.5" thickTop="1">
      <c r="H25" s="36"/>
    </row>
    <row r="26" ht="12.75">
      <c r="B26" s="9" t="s">
        <v>134</v>
      </c>
    </row>
    <row r="28" spans="2:8" ht="12.75">
      <c r="B28" s="1" t="s">
        <v>247</v>
      </c>
      <c r="E28" s="26" t="s">
        <v>93</v>
      </c>
      <c r="F28" s="1">
        <v>1</v>
      </c>
      <c r="G28" s="10">
        <f>FxdCost!I34</f>
        <v>279.197875</v>
      </c>
      <c r="H28" s="10">
        <f>F28*G28</f>
        <v>279.197875</v>
      </c>
    </row>
    <row r="29" spans="2:8" ht="12.75">
      <c r="B29" s="1" t="s">
        <v>142</v>
      </c>
      <c r="E29" s="26" t="s">
        <v>93</v>
      </c>
      <c r="F29" s="10">
        <f>H24</f>
        <v>1215.07995</v>
      </c>
      <c r="G29" s="10">
        <v>0.15</v>
      </c>
      <c r="H29" s="10">
        <f>H24*G29</f>
        <v>182.2619925</v>
      </c>
    </row>
    <row r="30" spans="2:8" ht="12.75">
      <c r="B30" s="1" t="s">
        <v>164</v>
      </c>
      <c r="E30" s="1" t="s">
        <v>93</v>
      </c>
      <c r="F30" s="1">
        <v>1</v>
      </c>
      <c r="G30" s="10">
        <f>Drip!I32</f>
        <v>32.55446833333333</v>
      </c>
      <c r="H30" s="10">
        <f>F30*G30</f>
        <v>32.55446833333333</v>
      </c>
    </row>
    <row r="31" spans="2:8" ht="13.5" thickBot="1">
      <c r="B31" s="21" t="s">
        <v>309</v>
      </c>
      <c r="H31" s="44">
        <f>SUM(H28:H30)</f>
        <v>494.0143358333333</v>
      </c>
    </row>
    <row r="32" ht="13.5" thickTop="1">
      <c r="H32" s="36"/>
    </row>
    <row r="33" spans="2:8" ht="13.5" thickBot="1">
      <c r="B33" s="21" t="s">
        <v>308</v>
      </c>
      <c r="C33" s="21"/>
      <c r="D33" s="21"/>
      <c r="E33" s="21" t="s">
        <v>67</v>
      </c>
      <c r="F33" s="21"/>
      <c r="G33" s="21"/>
      <c r="H33" s="45">
        <f>H24+H31</f>
        <v>1709.0942858333333</v>
      </c>
    </row>
    <row r="34" ht="13.5" thickTop="1">
      <c r="H34" s="36"/>
    </row>
    <row r="37" ht="12.75">
      <c r="A37" s="1" t="s">
        <v>83</v>
      </c>
    </row>
    <row r="38" ht="12.75"/>
    <row r="39" ht="12.75"/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H58"/>
  <sheetViews>
    <sheetView zoomScalePageLayoutView="0" workbookViewId="0" topLeftCell="B1">
      <selection activeCell="M12" sqref="M12"/>
    </sheetView>
  </sheetViews>
  <sheetFormatPr defaultColWidth="10.57421875" defaultRowHeight="12.75"/>
  <cols>
    <col min="1" max="1" width="10.57421875" style="1" customWidth="1"/>
    <col min="2" max="2" width="30.28125" style="1" customWidth="1"/>
    <col min="3" max="3" width="2.57421875" style="1" customWidth="1"/>
    <col min="4" max="4" width="3.28125" style="1" customWidth="1"/>
    <col min="5" max="16384" width="10.57421875" style="1" customWidth="1"/>
  </cols>
  <sheetData>
    <row r="2" ht="12.75">
      <c r="B2" s="47" t="s">
        <v>310</v>
      </c>
    </row>
    <row r="4" spans="2:8" ht="15.75">
      <c r="B4" s="69" t="s">
        <v>126</v>
      </c>
      <c r="C4" s="74"/>
      <c r="D4" s="74"/>
      <c r="E4" s="74"/>
      <c r="F4" s="74"/>
      <c r="G4" s="74"/>
      <c r="H4" s="74"/>
    </row>
    <row r="5" spans="2:8" ht="15.75">
      <c r="B5" s="72" t="s">
        <v>331</v>
      </c>
      <c r="C5" s="74"/>
      <c r="D5" s="74"/>
      <c r="E5" s="74"/>
      <c r="F5" s="74"/>
      <c r="G5" s="74"/>
      <c r="H5" s="74"/>
    </row>
    <row r="7" spans="2:8" ht="12.75">
      <c r="B7" s="12" t="s">
        <v>167</v>
      </c>
      <c r="C7" s="12"/>
      <c r="D7" s="12"/>
      <c r="E7" s="12" t="s">
        <v>253</v>
      </c>
      <c r="F7" s="12" t="s">
        <v>207</v>
      </c>
      <c r="G7" s="6" t="s">
        <v>202</v>
      </c>
      <c r="H7" s="5" t="s">
        <v>97</v>
      </c>
    </row>
    <row r="9" ht="12.75">
      <c r="B9" s="21" t="s">
        <v>186</v>
      </c>
    </row>
    <row r="11" spans="2:8" ht="12.75">
      <c r="B11" s="1" t="s">
        <v>174</v>
      </c>
      <c r="E11" s="1" t="s">
        <v>230</v>
      </c>
      <c r="F11" s="10">
        <v>0.5</v>
      </c>
      <c r="G11" s="10">
        <v>30</v>
      </c>
      <c r="H11" s="10">
        <f aca="true" t="shared" si="0" ref="H11:H26">F11*G11</f>
        <v>15</v>
      </c>
    </row>
    <row r="12" spans="2:8" ht="12.75">
      <c r="B12" s="1" t="s">
        <v>96</v>
      </c>
      <c r="E12" s="1" t="s">
        <v>170</v>
      </c>
      <c r="F12" s="10">
        <v>100</v>
      </c>
      <c r="G12" s="10">
        <v>0.48</v>
      </c>
      <c r="H12" s="10">
        <f t="shared" si="0"/>
        <v>48</v>
      </c>
    </row>
    <row r="13" spans="2:8" ht="12.75">
      <c r="B13" s="1" t="s">
        <v>194</v>
      </c>
      <c r="E13" s="1" t="s">
        <v>93</v>
      </c>
      <c r="F13" s="10">
        <v>40</v>
      </c>
      <c r="G13" s="10">
        <v>0.51</v>
      </c>
      <c r="H13" s="10">
        <f t="shared" si="0"/>
        <v>20.4</v>
      </c>
    </row>
    <row r="14" spans="2:8" ht="12.75">
      <c r="B14" s="1" t="s">
        <v>197</v>
      </c>
      <c r="E14" s="1" t="s">
        <v>93</v>
      </c>
      <c r="F14" s="10">
        <v>40</v>
      </c>
      <c r="G14" s="10">
        <v>0.39</v>
      </c>
      <c r="H14" s="10">
        <f t="shared" si="0"/>
        <v>15.600000000000001</v>
      </c>
    </row>
    <row r="15" spans="2:8" ht="12.75">
      <c r="B15" s="1" t="s">
        <v>270</v>
      </c>
      <c r="E15" s="1" t="s">
        <v>170</v>
      </c>
      <c r="F15" s="10">
        <v>50</v>
      </c>
      <c r="G15" s="10">
        <f>Yr1!G12</f>
        <v>0.35</v>
      </c>
      <c r="H15" s="10">
        <f t="shared" si="0"/>
        <v>17.5</v>
      </c>
    </row>
    <row r="16" spans="2:8" ht="12.75">
      <c r="B16" s="1" t="s">
        <v>136</v>
      </c>
      <c r="E16" s="1" t="s">
        <v>103</v>
      </c>
      <c r="F16" s="10">
        <v>3</v>
      </c>
      <c r="G16" s="10">
        <v>2</v>
      </c>
      <c r="H16" s="10">
        <f t="shared" si="0"/>
        <v>6</v>
      </c>
    </row>
    <row r="17" spans="2:8" ht="12.75">
      <c r="B17" s="1" t="s">
        <v>140</v>
      </c>
      <c r="E17" s="1" t="s">
        <v>103</v>
      </c>
      <c r="F17" s="10">
        <v>4</v>
      </c>
      <c r="G17" s="10">
        <v>12</v>
      </c>
      <c r="H17" s="10">
        <f t="shared" si="0"/>
        <v>48</v>
      </c>
    </row>
    <row r="18" spans="2:8" ht="12.75">
      <c r="B18" s="1" t="s">
        <v>148</v>
      </c>
      <c r="E18" s="1" t="s">
        <v>103</v>
      </c>
      <c r="F18" s="10">
        <v>3</v>
      </c>
      <c r="G18" s="10">
        <v>29.25</v>
      </c>
      <c r="H18" s="10">
        <f t="shared" si="0"/>
        <v>87.75</v>
      </c>
    </row>
    <row r="19" spans="2:8" ht="12.75">
      <c r="B19" s="1" t="s">
        <v>155</v>
      </c>
      <c r="E19" s="1" t="s">
        <v>103</v>
      </c>
      <c r="F19" s="10">
        <v>5</v>
      </c>
      <c r="G19" s="10">
        <v>25</v>
      </c>
      <c r="H19" s="10">
        <f t="shared" si="0"/>
        <v>125</v>
      </c>
    </row>
    <row r="20" spans="2:8" ht="12.75">
      <c r="B20" s="1" t="s">
        <v>250</v>
      </c>
      <c r="E20" s="1" t="s">
        <v>250</v>
      </c>
      <c r="F20" s="10">
        <v>2</v>
      </c>
      <c r="G20" s="10">
        <v>15</v>
      </c>
      <c r="H20" s="10">
        <f t="shared" si="0"/>
        <v>30</v>
      </c>
    </row>
    <row r="21" spans="2:8" ht="12.75">
      <c r="B21" s="1" t="s">
        <v>168</v>
      </c>
      <c r="E21" s="1" t="s">
        <v>152</v>
      </c>
      <c r="F21" s="10">
        <v>23</v>
      </c>
      <c r="G21" s="10">
        <v>10</v>
      </c>
      <c r="H21" s="10">
        <f t="shared" si="0"/>
        <v>230</v>
      </c>
    </row>
    <row r="22" spans="2:8" ht="12.75">
      <c r="B22" s="1" t="s">
        <v>138</v>
      </c>
      <c r="E22" s="1" t="s">
        <v>93</v>
      </c>
      <c r="F22" s="10">
        <v>37</v>
      </c>
      <c r="G22" s="10">
        <v>2.5</v>
      </c>
      <c r="H22" s="10">
        <f t="shared" si="0"/>
        <v>92.5</v>
      </c>
    </row>
    <row r="23" spans="2:8" ht="12.75">
      <c r="B23" s="1" t="s">
        <v>212</v>
      </c>
      <c r="E23" s="1" t="s">
        <v>93</v>
      </c>
      <c r="F23" s="10">
        <v>1</v>
      </c>
      <c r="G23" s="10">
        <v>37</v>
      </c>
      <c r="H23" s="10">
        <f t="shared" si="0"/>
        <v>37</v>
      </c>
    </row>
    <row r="24" spans="2:8" ht="12.75">
      <c r="B24" s="1" t="s">
        <v>163</v>
      </c>
      <c r="E24" s="1" t="s">
        <v>93</v>
      </c>
      <c r="F24" s="10">
        <v>1</v>
      </c>
      <c r="G24" s="10">
        <f>Bud!H35</f>
        <v>100</v>
      </c>
      <c r="H24" s="10">
        <f t="shared" si="0"/>
        <v>100</v>
      </c>
    </row>
    <row r="25" spans="2:8" ht="12.75">
      <c r="B25" s="1" t="s">
        <v>169</v>
      </c>
      <c r="E25" s="1" t="s">
        <v>93</v>
      </c>
      <c r="F25" s="10">
        <v>1</v>
      </c>
      <c r="G25" s="10">
        <v>200</v>
      </c>
      <c r="H25" s="10">
        <f t="shared" si="0"/>
        <v>200</v>
      </c>
    </row>
    <row r="26" spans="2:8" ht="12.75">
      <c r="B26" s="1" t="s">
        <v>160</v>
      </c>
      <c r="E26" s="26" t="s">
        <v>93</v>
      </c>
      <c r="F26" s="18">
        <f>SUM(H10:H23)</f>
        <v>772.75</v>
      </c>
      <c r="G26" s="10">
        <v>0.07</v>
      </c>
      <c r="H26" s="10">
        <f t="shared" si="0"/>
        <v>54.09250000000001</v>
      </c>
    </row>
    <row r="27" spans="2:8" ht="13.5" thickBot="1">
      <c r="B27" s="9" t="s">
        <v>243</v>
      </c>
      <c r="E27" s="26" t="s">
        <v>67</v>
      </c>
      <c r="H27" s="44">
        <f>SUM(H11:H26)</f>
        <v>1126.8425</v>
      </c>
    </row>
    <row r="28" ht="13.5" thickTop="1">
      <c r="H28" s="36"/>
    </row>
    <row r="29" spans="2:8" ht="12.75">
      <c r="B29" s="12" t="s">
        <v>134</v>
      </c>
      <c r="E29" s="12" t="s">
        <v>253</v>
      </c>
      <c r="F29" s="12" t="s">
        <v>207</v>
      </c>
      <c r="G29" s="6" t="s">
        <v>202</v>
      </c>
      <c r="H29" s="5" t="s">
        <v>97</v>
      </c>
    </row>
    <row r="31" spans="2:8" ht="12.75">
      <c r="B31" s="1" t="s">
        <v>248</v>
      </c>
      <c r="E31" s="26" t="s">
        <v>93</v>
      </c>
      <c r="F31" s="10">
        <v>1</v>
      </c>
      <c r="G31" s="10">
        <f>FxdCost!I34</f>
        <v>279.197875</v>
      </c>
      <c r="H31" s="10">
        <f>F31*G31</f>
        <v>279.197875</v>
      </c>
    </row>
    <row r="32" spans="2:8" ht="12.75">
      <c r="B32" s="1" t="s">
        <v>142</v>
      </c>
      <c r="E32" s="26" t="s">
        <v>93</v>
      </c>
      <c r="F32" s="10">
        <f>H27</f>
        <v>1126.8425</v>
      </c>
      <c r="G32" s="10">
        <v>0.15</v>
      </c>
      <c r="H32" s="10">
        <f>H27*G32</f>
        <v>169.026375</v>
      </c>
    </row>
    <row r="33" spans="2:8" ht="12.75">
      <c r="B33" s="1" t="s">
        <v>164</v>
      </c>
      <c r="E33" s="26" t="s">
        <v>93</v>
      </c>
      <c r="F33" s="10">
        <v>1</v>
      </c>
      <c r="G33" s="10">
        <f>Drip!I32</f>
        <v>32.55446833333333</v>
      </c>
      <c r="H33" s="10">
        <f>F33*G33</f>
        <v>32.55446833333333</v>
      </c>
    </row>
    <row r="34" spans="2:8" ht="13.5" thickBot="1">
      <c r="B34" s="21" t="s">
        <v>309</v>
      </c>
      <c r="H34" s="44">
        <f>SUM(H31:H33)</f>
        <v>480.7787183333333</v>
      </c>
    </row>
    <row r="35" ht="13.5" thickTop="1">
      <c r="H35" s="46"/>
    </row>
    <row r="36" spans="2:8" ht="13.5" thickBot="1">
      <c r="B36" s="21" t="s">
        <v>308</v>
      </c>
      <c r="H36" s="44">
        <f>H27+H34</f>
        <v>1607.6212183333332</v>
      </c>
    </row>
    <row r="37" ht="13.5" thickTop="1">
      <c r="H37" s="46"/>
    </row>
    <row r="38" ht="12.75"/>
    <row r="39" ht="12.75"/>
    <row r="40" ht="12.75"/>
    <row r="41" ht="12.75"/>
    <row r="42" spans="2:8" ht="15.75">
      <c r="B42" s="69"/>
      <c r="C42" s="74"/>
      <c r="D42" s="74"/>
      <c r="E42" s="74"/>
      <c r="F42" s="74"/>
      <c r="G42" s="74"/>
      <c r="H42" s="74"/>
    </row>
    <row r="46" spans="6:8" ht="12.75">
      <c r="F46" s="10"/>
      <c r="G46" s="7"/>
      <c r="H46" s="7"/>
    </row>
    <row r="47" spans="6:8" ht="12.75">
      <c r="F47" s="10"/>
      <c r="G47" s="7"/>
      <c r="H47" s="7"/>
    </row>
    <row r="48" spans="6:8" ht="12.75">
      <c r="F48" s="10"/>
      <c r="G48" s="7"/>
      <c r="H48" s="7"/>
    </row>
    <row r="49" spans="6:8" ht="12.75">
      <c r="F49" s="10"/>
      <c r="G49" s="7"/>
      <c r="H49" s="7"/>
    </row>
    <row r="50" spans="6:8" ht="12.75">
      <c r="F50" s="10"/>
      <c r="G50" s="7"/>
      <c r="H50" s="7"/>
    </row>
    <row r="51" spans="6:8" ht="12.75">
      <c r="F51" s="10"/>
      <c r="G51" s="7"/>
      <c r="H51" s="7"/>
    </row>
    <row r="52" spans="6:8" ht="12.75">
      <c r="F52" s="10"/>
      <c r="G52" s="7"/>
      <c r="H52" s="7"/>
    </row>
    <row r="53" spans="2:8" ht="12.75">
      <c r="B53" s="9"/>
      <c r="H53" s="14"/>
    </row>
    <row r="57" spans="2:8" ht="12.75">
      <c r="B57" s="9"/>
      <c r="H57" s="14"/>
    </row>
    <row r="58" ht="12.75">
      <c r="A58" s="1" t="s">
        <v>83</v>
      </c>
    </row>
  </sheetData>
  <sheetProtection/>
  <mergeCells count="3">
    <mergeCell ref="B4:H4"/>
    <mergeCell ref="B5:H5"/>
    <mergeCell ref="B42:H42"/>
  </mergeCells>
  <printOptions/>
  <pageMargins left="0.75" right="0.75" top="1" bottom="1" header="0.5" footer="0.5"/>
  <pageSetup horizontalDpi="600" verticalDpi="600" orientation="portrait" r:id="rId2"/>
  <rowBreaks count="1" manualBreakCount="1">
    <brk id="5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8515625" style="1" customWidth="1"/>
    <col min="2" max="2" width="16.7109375" style="1" customWidth="1"/>
    <col min="3" max="3" width="5.8515625" style="1" customWidth="1"/>
    <col min="4" max="16384" width="9.140625" style="1" customWidth="1"/>
  </cols>
  <sheetData>
    <row r="2" ht="12.75">
      <c r="B2" s="47" t="s">
        <v>310</v>
      </c>
    </row>
    <row r="4" spans="3:8" ht="15.75">
      <c r="C4" s="75" t="s">
        <v>320</v>
      </c>
      <c r="D4" s="70"/>
      <c r="E4" s="70"/>
      <c r="F4" s="70"/>
      <c r="G4" s="70"/>
      <c r="H4" s="70"/>
    </row>
    <row r="7" spans="2:9" ht="12.75">
      <c r="B7" s="6" t="s">
        <v>166</v>
      </c>
      <c r="C7" s="3"/>
      <c r="D7" s="6" t="s">
        <v>252</v>
      </c>
      <c r="E7" s="6" t="s">
        <v>208</v>
      </c>
      <c r="F7" s="3"/>
      <c r="G7" s="6" t="s">
        <v>201</v>
      </c>
      <c r="H7" s="3"/>
      <c r="I7" s="6" t="s">
        <v>98</v>
      </c>
    </row>
    <row r="8" spans="7:9" ht="12.75">
      <c r="G8" s="11"/>
      <c r="I8" s="11"/>
    </row>
    <row r="9" spans="2:9" ht="12.75">
      <c r="B9" s="1" t="s">
        <v>147</v>
      </c>
      <c r="D9" s="1" t="s">
        <v>104</v>
      </c>
      <c r="E9" s="10">
        <v>1</v>
      </c>
      <c r="G9" s="15">
        <v>0</v>
      </c>
      <c r="I9" s="15">
        <f>E9*G9</f>
        <v>0</v>
      </c>
    </row>
    <row r="10" spans="2:9" ht="12.75">
      <c r="B10" s="26" t="s">
        <v>291</v>
      </c>
      <c r="D10" s="1" t="s">
        <v>104</v>
      </c>
      <c r="E10" s="10">
        <v>1</v>
      </c>
      <c r="G10" s="15">
        <v>0</v>
      </c>
      <c r="I10" s="15">
        <f>E10*G10</f>
        <v>0</v>
      </c>
    </row>
    <row r="11" spans="2:9" ht="12.75">
      <c r="B11" s="26" t="s">
        <v>292</v>
      </c>
      <c r="D11" s="1" t="s">
        <v>104</v>
      </c>
      <c r="E11" s="10">
        <v>1</v>
      </c>
      <c r="G11" s="15">
        <v>0</v>
      </c>
      <c r="I11" s="15">
        <f>E11*G11</f>
        <v>0</v>
      </c>
    </row>
    <row r="12" spans="2:9" ht="13.5" thickBot="1">
      <c r="B12" s="21" t="s">
        <v>294</v>
      </c>
      <c r="C12" s="21"/>
      <c r="D12" s="21"/>
      <c r="E12" s="23"/>
      <c r="F12" s="21"/>
      <c r="G12" s="35"/>
      <c r="H12" s="21"/>
      <c r="I12" s="49">
        <f>SUM(I9:I11)</f>
        <v>0</v>
      </c>
    </row>
    <row r="13" spans="5:9" ht="13.5" thickTop="1">
      <c r="E13" s="10"/>
      <c r="G13" s="15"/>
      <c r="I13" s="48"/>
    </row>
    <row r="14" spans="2:9" ht="12.75">
      <c r="B14" s="26" t="s">
        <v>293</v>
      </c>
      <c r="D14" s="1" t="s">
        <v>104</v>
      </c>
      <c r="E14" s="10">
        <v>1</v>
      </c>
      <c r="G14" s="15">
        <v>0</v>
      </c>
      <c r="I14" s="15">
        <v>18</v>
      </c>
    </row>
    <row r="15" spans="2:9" ht="12.75">
      <c r="B15" s="1" t="s">
        <v>154</v>
      </c>
      <c r="D15" s="1" t="s">
        <v>104</v>
      </c>
      <c r="E15" s="10">
        <v>3</v>
      </c>
      <c r="G15" s="15">
        <v>0</v>
      </c>
      <c r="I15" s="15">
        <f>E15*G15</f>
        <v>0</v>
      </c>
    </row>
    <row r="16" spans="2:9" ht="12.75">
      <c r="B16" s="1" t="s">
        <v>154</v>
      </c>
      <c r="D16" s="1" t="s">
        <v>104</v>
      </c>
      <c r="E16" s="10">
        <v>1</v>
      </c>
      <c r="G16" s="15">
        <v>0</v>
      </c>
      <c r="I16" s="15">
        <f>E16*G16</f>
        <v>0</v>
      </c>
    </row>
    <row r="17" spans="2:9" ht="12.75">
      <c r="B17" s="1" t="s">
        <v>154</v>
      </c>
      <c r="D17" s="1" t="s">
        <v>104</v>
      </c>
      <c r="E17" s="10">
        <v>3</v>
      </c>
      <c r="G17" s="15">
        <v>0</v>
      </c>
      <c r="I17" s="15">
        <f>E17*G17</f>
        <v>0</v>
      </c>
    </row>
    <row r="18" spans="2:9" ht="12.75">
      <c r="B18" s="1" t="s">
        <v>154</v>
      </c>
      <c r="D18" s="1" t="s">
        <v>104</v>
      </c>
      <c r="E18" s="10">
        <v>0</v>
      </c>
      <c r="G18" s="15">
        <v>0</v>
      </c>
      <c r="I18" s="15">
        <f>E18*G18</f>
        <v>0</v>
      </c>
    </row>
    <row r="19" spans="2:9" ht="13.5" thickBot="1">
      <c r="B19" s="21" t="s">
        <v>231</v>
      </c>
      <c r="C19" s="21"/>
      <c r="D19" s="21"/>
      <c r="E19" s="23"/>
      <c r="F19" s="21"/>
      <c r="G19" s="35"/>
      <c r="H19" s="21"/>
      <c r="I19" s="49">
        <v>0</v>
      </c>
    </row>
    <row r="20" spans="5:9" ht="13.5" thickTop="1">
      <c r="E20" s="10"/>
      <c r="G20" s="15"/>
      <c r="I20" s="48"/>
    </row>
    <row r="21" spans="2:9" ht="12.75">
      <c r="B21" s="1" t="s">
        <v>139</v>
      </c>
      <c r="D21" s="1" t="s">
        <v>104</v>
      </c>
      <c r="E21" s="10">
        <v>5</v>
      </c>
      <c r="G21" s="15">
        <v>0</v>
      </c>
      <c r="I21" s="15">
        <f aca="true" t="shared" si="0" ref="I21:I26">E21*G21</f>
        <v>0</v>
      </c>
    </row>
    <row r="22" spans="2:9" ht="12.75">
      <c r="B22" s="1" t="s">
        <v>139</v>
      </c>
      <c r="D22" s="1" t="s">
        <v>104</v>
      </c>
      <c r="E22" s="10">
        <v>5</v>
      </c>
      <c r="G22" s="15">
        <v>0</v>
      </c>
      <c r="I22" s="15">
        <f t="shared" si="0"/>
        <v>0</v>
      </c>
    </row>
    <row r="23" spans="2:9" ht="12.75">
      <c r="B23" s="1" t="s">
        <v>139</v>
      </c>
      <c r="D23" s="1" t="s">
        <v>104</v>
      </c>
      <c r="E23" s="10">
        <v>0</v>
      </c>
      <c r="G23" s="15">
        <v>0</v>
      </c>
      <c r="I23" s="15">
        <f t="shared" si="0"/>
        <v>0</v>
      </c>
    </row>
    <row r="24" spans="2:9" ht="12.75">
      <c r="B24" s="1" t="s">
        <v>139</v>
      </c>
      <c r="D24" s="1" t="s">
        <v>104</v>
      </c>
      <c r="E24" s="10">
        <v>0</v>
      </c>
      <c r="G24" s="15">
        <v>0</v>
      </c>
      <c r="I24" s="15">
        <f t="shared" si="0"/>
        <v>0</v>
      </c>
    </row>
    <row r="25" spans="2:9" ht="12.75">
      <c r="B25" s="1" t="s">
        <v>139</v>
      </c>
      <c r="D25" s="1" t="s">
        <v>104</v>
      </c>
      <c r="E25" s="10">
        <v>0</v>
      </c>
      <c r="G25" s="15">
        <v>0</v>
      </c>
      <c r="I25" s="15">
        <f t="shared" si="0"/>
        <v>0</v>
      </c>
    </row>
    <row r="26" spans="2:9" ht="12.75">
      <c r="B26" s="1" t="s">
        <v>139</v>
      </c>
      <c r="D26" s="1" t="s">
        <v>104</v>
      </c>
      <c r="E26" s="10">
        <v>0</v>
      </c>
      <c r="G26" s="15">
        <v>0</v>
      </c>
      <c r="I26" s="15">
        <f t="shared" si="0"/>
        <v>0</v>
      </c>
    </row>
    <row r="27" spans="2:9" ht="13.5" thickBot="1">
      <c r="B27" s="21" t="s">
        <v>231</v>
      </c>
      <c r="E27" s="10"/>
      <c r="G27" s="15"/>
      <c r="I27" s="49">
        <f>SUM(I21:I26)</f>
        <v>0</v>
      </c>
    </row>
    <row r="28" spans="5:9" ht="13.5" thickTop="1">
      <c r="E28" s="10"/>
      <c r="G28" s="15"/>
      <c r="I28" s="48"/>
    </row>
    <row r="29" spans="2:9" ht="12.75">
      <c r="B29" s="1" t="s">
        <v>187</v>
      </c>
      <c r="D29" s="1" t="s">
        <v>104</v>
      </c>
      <c r="E29" s="10">
        <v>0</v>
      </c>
      <c r="G29" s="15">
        <v>0</v>
      </c>
      <c r="I29" s="15">
        <f>E29*G29</f>
        <v>0</v>
      </c>
    </row>
    <row r="30" spans="2:9" ht="12.75">
      <c r="B30" s="1" t="s">
        <v>187</v>
      </c>
      <c r="D30" s="1" t="s">
        <v>104</v>
      </c>
      <c r="E30" s="10">
        <v>0</v>
      </c>
      <c r="G30" s="15">
        <v>0</v>
      </c>
      <c r="I30" s="15">
        <f>E30*G30</f>
        <v>0</v>
      </c>
    </row>
    <row r="31" spans="2:9" ht="12.75">
      <c r="B31" s="1" t="s">
        <v>187</v>
      </c>
      <c r="D31" s="1" t="s">
        <v>104</v>
      </c>
      <c r="E31" s="10">
        <v>0</v>
      </c>
      <c r="G31" s="15">
        <v>0</v>
      </c>
      <c r="I31" s="15">
        <f>E31*G31</f>
        <v>0</v>
      </c>
    </row>
    <row r="32" spans="2:9" ht="12.75">
      <c r="B32" s="1" t="s">
        <v>187</v>
      </c>
      <c r="D32" s="1" t="s">
        <v>104</v>
      </c>
      <c r="E32" s="10">
        <v>0</v>
      </c>
      <c r="G32" s="15">
        <v>0</v>
      </c>
      <c r="I32" s="15">
        <f>E32*G32</f>
        <v>0</v>
      </c>
    </row>
    <row r="33" spans="2:9" ht="12.75">
      <c r="B33" s="21" t="s">
        <v>294</v>
      </c>
      <c r="C33" s="21"/>
      <c r="D33" s="21"/>
      <c r="E33" s="21"/>
      <c r="F33" s="21"/>
      <c r="G33" s="35"/>
      <c r="H33" s="21"/>
      <c r="I33" s="35">
        <v>0</v>
      </c>
    </row>
    <row r="34" spans="2:9" ht="13.5" thickBot="1">
      <c r="B34" s="22" t="s">
        <v>295</v>
      </c>
      <c r="G34" s="15"/>
      <c r="I34" s="51">
        <v>0</v>
      </c>
    </row>
    <row r="35" ht="13.5" thickTop="1">
      <c r="I35" s="50"/>
    </row>
    <row r="36" spans="1:9" ht="12.75">
      <c r="A36" s="1" t="s">
        <v>83</v>
      </c>
      <c r="I36" s="16"/>
    </row>
    <row r="37" ht="12.75">
      <c r="I37" s="16"/>
    </row>
    <row r="38" ht="12.75">
      <c r="I38" s="16"/>
    </row>
    <row r="39" ht="12.75">
      <c r="I39" s="16"/>
    </row>
    <row r="40" ht="12.75">
      <c r="I40" s="16"/>
    </row>
    <row r="41" ht="12.75">
      <c r="I41" s="16"/>
    </row>
    <row r="42" ht="12.75">
      <c r="I42" s="16"/>
    </row>
    <row r="43" ht="12.75">
      <c r="I43" s="16"/>
    </row>
    <row r="44" ht="12.75">
      <c r="I44" s="16"/>
    </row>
    <row r="45" ht="12.75">
      <c r="I45" s="16"/>
    </row>
    <row r="46" ht="12.75">
      <c r="I46" s="16"/>
    </row>
    <row r="47" ht="12.75">
      <c r="I47" s="16"/>
    </row>
    <row r="48" ht="12.75">
      <c r="I48" s="16"/>
    </row>
    <row r="49" ht="12.75">
      <c r="I49" s="16"/>
    </row>
    <row r="50" ht="12.75">
      <c r="I50" s="16"/>
    </row>
    <row r="51" ht="12.75">
      <c r="I51" s="16"/>
    </row>
    <row r="52" ht="12.75">
      <c r="I52" s="16"/>
    </row>
    <row r="53" ht="12.75">
      <c r="I53" s="16"/>
    </row>
    <row r="54" ht="12.75">
      <c r="I54" s="16"/>
    </row>
    <row r="55" ht="12.75">
      <c r="I55" s="16"/>
    </row>
    <row r="56" ht="12.75">
      <c r="I56" s="16"/>
    </row>
    <row r="57" ht="12.75">
      <c r="I57" s="16"/>
    </row>
    <row r="58" ht="12.75">
      <c r="I58" s="16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5.7109375" style="1" customWidth="1"/>
    <col min="6" max="6" width="6.00390625" style="1" customWidth="1"/>
    <col min="7" max="7" width="5.28125" style="1" customWidth="1"/>
    <col min="8" max="8" width="6.2812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47" t="s">
        <v>310</v>
      </c>
      <c r="D2" s="4"/>
      <c r="E2" s="4"/>
      <c r="F2" s="4"/>
      <c r="G2" s="4"/>
      <c r="H2" s="4"/>
      <c r="I2" s="4"/>
      <c r="J2" s="4"/>
      <c r="K2" s="4"/>
    </row>
    <row r="3" spans="4:11" ht="12.75">
      <c r="D3" s="4"/>
      <c r="E3" s="4"/>
      <c r="F3" s="4"/>
      <c r="G3" s="4"/>
      <c r="H3" s="4"/>
      <c r="I3" s="4"/>
      <c r="J3" s="4"/>
      <c r="K3" s="4"/>
    </row>
    <row r="4" spans="3:11" ht="15.75">
      <c r="C4" s="59" t="s">
        <v>321</v>
      </c>
      <c r="E4" s="6"/>
      <c r="F4" s="6"/>
      <c r="G4" s="6"/>
      <c r="H4" s="6"/>
      <c r="I4" s="6"/>
      <c r="J4" s="6"/>
      <c r="K4" s="6"/>
    </row>
    <row r="5" spans="4:11" ht="12.75">
      <c r="D5" s="4"/>
      <c r="E5" s="4"/>
      <c r="F5" s="4"/>
      <c r="G5" s="4"/>
      <c r="H5" s="4"/>
      <c r="I5" s="4"/>
      <c r="J5" s="4"/>
      <c r="K5" s="4"/>
    </row>
    <row r="6" spans="4:11" ht="12.75">
      <c r="D6" s="4" t="s">
        <v>124</v>
      </c>
      <c r="E6" s="4" t="s">
        <v>132</v>
      </c>
      <c r="F6" s="2" t="s">
        <v>132</v>
      </c>
      <c r="G6" s="4" t="s">
        <v>94</v>
      </c>
      <c r="H6" s="4" t="s">
        <v>184</v>
      </c>
      <c r="I6" s="4" t="s">
        <v>138</v>
      </c>
      <c r="J6" s="4" t="s">
        <v>176</v>
      </c>
      <c r="K6" s="4" t="s">
        <v>168</v>
      </c>
    </row>
    <row r="7" spans="4:11" ht="12.75">
      <c r="D7" s="4" t="s">
        <v>262</v>
      </c>
      <c r="E7" s="4" t="s">
        <v>219</v>
      </c>
      <c r="F7" s="2" t="s">
        <v>122</v>
      </c>
      <c r="G7" s="4" t="s">
        <v>191</v>
      </c>
      <c r="H7" s="4" t="s">
        <v>229</v>
      </c>
      <c r="I7" s="4" t="s">
        <v>254</v>
      </c>
      <c r="J7" s="4" t="s">
        <v>210</v>
      </c>
      <c r="K7" s="4" t="s">
        <v>254</v>
      </c>
    </row>
    <row r="8" spans="2:11" ht="12.75">
      <c r="B8" s="1" t="s">
        <v>58</v>
      </c>
      <c r="D8" s="4" t="s">
        <v>71</v>
      </c>
      <c r="E8" s="4" t="s">
        <v>74</v>
      </c>
      <c r="F8" s="2" t="s">
        <v>69</v>
      </c>
      <c r="G8" s="4" t="s">
        <v>150</v>
      </c>
      <c r="H8" s="4" t="s">
        <v>188</v>
      </c>
      <c r="I8" s="4" t="s">
        <v>72</v>
      </c>
      <c r="J8" s="4" t="s">
        <v>70</v>
      </c>
      <c r="K8" s="4" t="s">
        <v>73</v>
      </c>
    </row>
    <row r="9" spans="4:11" ht="12.75">
      <c r="D9" s="4"/>
      <c r="E9" s="4"/>
      <c r="F9" s="4"/>
      <c r="G9" s="4"/>
      <c r="H9" s="4"/>
      <c r="I9" s="4"/>
      <c r="J9" s="4"/>
      <c r="K9" s="4"/>
    </row>
    <row r="10" spans="2:11" ht="12.75">
      <c r="B10" s="9" t="s">
        <v>198</v>
      </c>
      <c r="D10" s="4"/>
      <c r="E10" s="4"/>
      <c r="F10" s="4"/>
      <c r="G10" s="4"/>
      <c r="H10" s="4"/>
      <c r="I10" s="4"/>
      <c r="J10" s="4"/>
      <c r="K10" s="4"/>
    </row>
    <row r="11" spans="2:11" ht="12.75">
      <c r="B11" s="1" t="s">
        <v>65</v>
      </c>
      <c r="D11" s="4"/>
      <c r="E11" s="4"/>
      <c r="F11" s="4"/>
      <c r="G11" s="4" t="s">
        <v>0</v>
      </c>
      <c r="H11" s="2" t="s">
        <v>0</v>
      </c>
      <c r="I11" s="4"/>
      <c r="J11" s="4" t="s">
        <v>0</v>
      </c>
      <c r="K11" s="4" t="s">
        <v>0</v>
      </c>
    </row>
    <row r="12" spans="2:11" ht="12.75">
      <c r="B12" s="1" t="s">
        <v>7</v>
      </c>
      <c r="D12" s="4">
        <v>20</v>
      </c>
      <c r="E12" s="4">
        <v>3</v>
      </c>
      <c r="F12" s="2">
        <v>70</v>
      </c>
      <c r="G12" s="4">
        <f>(D12*E12*(F12/100))/8.25</f>
        <v>5.090909090909091</v>
      </c>
      <c r="H12" s="2">
        <v>3</v>
      </c>
      <c r="I12" s="4">
        <f>(H12*(1/G12))*0.05*75</f>
        <v>2.209821428571429</v>
      </c>
      <c r="J12" s="4">
        <f>(H55+H46)*(1/G12*H12)</f>
        <v>0</v>
      </c>
      <c r="K12" s="4">
        <f>H12*(1/G12)*1.2</f>
        <v>0.7071428571428572</v>
      </c>
    </row>
    <row r="13" spans="2:11" ht="12.75">
      <c r="B13" s="1" t="s">
        <v>6</v>
      </c>
      <c r="D13" s="4">
        <v>40</v>
      </c>
      <c r="E13" s="4">
        <v>2.5</v>
      </c>
      <c r="F13" s="2">
        <v>65</v>
      </c>
      <c r="G13" s="4">
        <f>(D13*E13*(F13/100))/8.25</f>
        <v>7.878787878787879</v>
      </c>
      <c r="H13" s="2">
        <v>12</v>
      </c>
      <c r="I13" s="4">
        <f>(H13*(1/G13))*0.05*325</f>
        <v>24.75</v>
      </c>
      <c r="J13" s="4">
        <f>(H56+H47)*(1/G13*H13)</f>
        <v>0</v>
      </c>
      <c r="K13" s="4">
        <f>H13*(1/G13)*1.2</f>
        <v>1.8276923076923075</v>
      </c>
    </row>
    <row r="14" spans="2:11" ht="12.75">
      <c r="B14" s="1" t="s">
        <v>61</v>
      </c>
      <c r="D14" s="4">
        <v>15</v>
      </c>
      <c r="E14" s="4">
        <v>6</v>
      </c>
      <c r="F14" s="2">
        <v>95</v>
      </c>
      <c r="G14" s="4">
        <f>(D14*E14*(F14/100))/8.25</f>
        <v>10.363636363636363</v>
      </c>
      <c r="H14" s="2">
        <v>5</v>
      </c>
      <c r="I14" s="4">
        <f>(H14*(1/G14))*0.05*125</f>
        <v>3.0153508771929833</v>
      </c>
      <c r="J14" s="4">
        <f>(H56+H48)*(1/G14*H14)</f>
        <v>0</v>
      </c>
      <c r="K14" s="4">
        <f>H14*(1/G14)*1.2</f>
        <v>0.5789473684210527</v>
      </c>
    </row>
    <row r="16" spans="2:12" ht="13.5" thickBot="1">
      <c r="B16" s="13" t="s">
        <v>245</v>
      </c>
      <c r="D16" s="4"/>
      <c r="F16" s="4"/>
      <c r="G16" s="4"/>
      <c r="H16" s="4"/>
      <c r="I16" s="37">
        <f>SUM(I11:I14)</f>
        <v>29.975172305764413</v>
      </c>
      <c r="J16" s="37">
        <f>SUM(J11:J14)</f>
        <v>0</v>
      </c>
      <c r="K16" s="37">
        <f>SUM(K11:K14)</f>
        <v>3.1137825332562175</v>
      </c>
      <c r="L16" s="44">
        <f>SUM(I16:K16)</f>
        <v>33.08895483902063</v>
      </c>
    </row>
    <row r="17" spans="2:12" ht="13.5" thickTop="1">
      <c r="B17" s="10"/>
      <c r="D17" s="4"/>
      <c r="E17" s="4"/>
      <c r="F17" s="4"/>
      <c r="G17" s="4"/>
      <c r="H17" s="4"/>
      <c r="I17" s="52"/>
      <c r="J17" s="52"/>
      <c r="K17" s="52"/>
      <c r="L17" s="36"/>
    </row>
    <row r="18" spans="2:11" ht="12.75">
      <c r="B18" s="13" t="s">
        <v>143</v>
      </c>
      <c r="D18" s="4"/>
      <c r="E18" s="4"/>
      <c r="F18" s="4"/>
      <c r="G18" s="4"/>
      <c r="H18" s="4"/>
      <c r="I18" s="4"/>
      <c r="J18" s="4"/>
      <c r="K18" s="4"/>
    </row>
    <row r="19" spans="2:11" ht="12.75">
      <c r="B19" s="10" t="s">
        <v>63</v>
      </c>
      <c r="D19" s="2">
        <v>40</v>
      </c>
      <c r="E19" s="4">
        <v>1</v>
      </c>
      <c r="F19" s="2">
        <v>90</v>
      </c>
      <c r="G19" s="4">
        <f>(D19*E19*(F19/100))/8.25</f>
        <v>4.363636363636363</v>
      </c>
      <c r="H19" s="2">
        <v>3</v>
      </c>
      <c r="I19" s="4">
        <f>(H19*(1/G19))*0.05*90</f>
        <v>3.0937500000000004</v>
      </c>
      <c r="J19" s="4">
        <f>(H61+H57)*(1/G19*H19)</f>
        <v>0</v>
      </c>
      <c r="K19" s="4">
        <f>H19*(1/G19)*1.2</f>
        <v>0.825</v>
      </c>
    </row>
    <row r="20" spans="2:11" ht="12.75">
      <c r="B20" s="1" t="s">
        <v>66</v>
      </c>
      <c r="D20" s="3">
        <v>10</v>
      </c>
      <c r="E20" s="4">
        <v>3</v>
      </c>
      <c r="F20" s="3">
        <v>90</v>
      </c>
      <c r="G20" s="4">
        <f>(D20*E20*(F20/100))/8.25</f>
        <v>3.272727272727273</v>
      </c>
      <c r="H20" s="2">
        <v>3</v>
      </c>
      <c r="I20" s="4">
        <f>(H20*(1/G20))*0.05*75</f>
        <v>3.4374999999999996</v>
      </c>
      <c r="J20" s="4">
        <f>(H51+H55)*(1/G20*H20)</f>
        <v>0</v>
      </c>
      <c r="K20" s="4">
        <f>H20*(1/G20)*1.2</f>
        <v>1.0999999999999999</v>
      </c>
    </row>
    <row r="21" spans="2:11" ht="12.75">
      <c r="B21" s="1" t="s">
        <v>55</v>
      </c>
      <c r="D21" s="3">
        <v>10</v>
      </c>
      <c r="E21" s="4">
        <v>2</v>
      </c>
      <c r="F21" s="3">
        <v>80</v>
      </c>
      <c r="G21" s="4">
        <v>7</v>
      </c>
      <c r="H21" s="2">
        <v>3</v>
      </c>
      <c r="I21" s="4">
        <f>(H21*(1/G21))*0.05*125</f>
        <v>2.6785714285714284</v>
      </c>
      <c r="J21" s="4">
        <f>(H52+H56)*(1/G21*H21)</f>
        <v>0</v>
      </c>
      <c r="K21" s="4">
        <f>H21*(1/G21)*1.2</f>
        <v>0.5142857142857142</v>
      </c>
    </row>
    <row r="22" spans="2:11" ht="12.75">
      <c r="B22" s="1" t="s">
        <v>56</v>
      </c>
      <c r="H22" s="2"/>
      <c r="I22" s="4">
        <v>5</v>
      </c>
      <c r="J22" s="4">
        <v>0.5</v>
      </c>
      <c r="K22" s="4">
        <v>1</v>
      </c>
    </row>
    <row r="23" spans="2:12" ht="13.5" thickBot="1">
      <c r="B23" s="13" t="s">
        <v>238</v>
      </c>
      <c r="I23" s="37">
        <f>SUM(I19:I22)</f>
        <v>14.209821428571429</v>
      </c>
      <c r="J23" s="37">
        <f>SUM(J19:J22)</f>
        <v>0.5</v>
      </c>
      <c r="K23" s="37">
        <f>SUM(K19:K22)</f>
        <v>3.439285714285714</v>
      </c>
      <c r="L23" s="44">
        <f>SUM(I23:K23)</f>
        <v>18.149107142857144</v>
      </c>
    </row>
    <row r="24" spans="9:12" ht="13.5" thickTop="1">
      <c r="I24" s="36"/>
      <c r="J24" s="36"/>
      <c r="K24" s="36"/>
      <c r="L24" s="36"/>
    </row>
    <row r="36" ht="12.75">
      <c r="A36" s="1" t="s">
        <v>83</v>
      </c>
    </row>
    <row r="43" spans="4:9" ht="12.75">
      <c r="D43" s="4"/>
      <c r="E43" s="4"/>
      <c r="F43" s="4"/>
      <c r="G43" s="4"/>
      <c r="H43" s="4"/>
      <c r="I43" s="4"/>
    </row>
    <row r="44" spans="4:9" ht="12.75">
      <c r="D44" s="4"/>
      <c r="E44" s="4"/>
      <c r="F44" s="4"/>
      <c r="G44" s="4"/>
      <c r="H44" s="4"/>
      <c r="I44" s="4"/>
    </row>
    <row r="45" spans="4:9" ht="12.75">
      <c r="D45" s="4"/>
      <c r="E45" s="7"/>
      <c r="F45" s="2"/>
      <c r="G45" s="4"/>
      <c r="H45" s="4"/>
      <c r="I45" s="4"/>
    </row>
    <row r="46" spans="4:9" ht="12.75">
      <c r="D46" s="4"/>
      <c r="E46" s="7"/>
      <c r="F46" s="2"/>
      <c r="G46" s="4"/>
      <c r="H46" s="4"/>
      <c r="I46" s="4"/>
    </row>
    <row r="47" spans="4:9" ht="12.75">
      <c r="D47" s="4"/>
      <c r="E47" s="2"/>
      <c r="F47" s="2"/>
      <c r="G47" s="4"/>
      <c r="H47" s="4"/>
      <c r="I47" s="4"/>
    </row>
    <row r="48" spans="4:9" ht="12.75">
      <c r="D48" s="4"/>
      <c r="E48" s="2"/>
      <c r="F48" s="2"/>
      <c r="G48" s="4"/>
      <c r="H48" s="4"/>
      <c r="I48" s="4"/>
    </row>
    <row r="49" spans="5:9" ht="12.75">
      <c r="E49" s="7"/>
      <c r="F49" s="2"/>
      <c r="G49" s="3"/>
      <c r="H49" s="4"/>
      <c r="I49" s="4"/>
    </row>
    <row r="50" spans="5:9" ht="12.75">
      <c r="E50" s="7"/>
      <c r="F50" s="3"/>
      <c r="G50" s="3"/>
      <c r="H50" s="4"/>
      <c r="I50" s="4"/>
    </row>
    <row r="51" spans="5:9" ht="12.75">
      <c r="E51" s="7"/>
      <c r="F51" s="3"/>
      <c r="G51" s="3"/>
      <c r="H51" s="4"/>
      <c r="I51" s="4"/>
    </row>
    <row r="52" spans="5:9" ht="12.75">
      <c r="E52" s="7"/>
      <c r="F52" s="3"/>
      <c r="G52" s="3"/>
      <c r="H52" s="4"/>
      <c r="I52" s="4"/>
    </row>
    <row r="53" spans="5:9" ht="12.75">
      <c r="E53" s="7"/>
      <c r="F53" s="3"/>
      <c r="G53" s="3"/>
      <c r="H53" s="4"/>
      <c r="I53" s="4"/>
    </row>
    <row r="54" spans="4:9" ht="12.75">
      <c r="D54" s="4"/>
      <c r="E54" s="2"/>
      <c r="F54" s="2"/>
      <c r="G54" s="4"/>
      <c r="H54" s="4"/>
      <c r="I54" s="4"/>
    </row>
    <row r="55" spans="4:9" ht="12.75">
      <c r="D55" s="4"/>
      <c r="E55" s="2"/>
      <c r="F55" s="2"/>
      <c r="G55" s="4"/>
      <c r="H55" s="4"/>
      <c r="I55" s="4"/>
    </row>
    <row r="56" spans="4:9" ht="12.75">
      <c r="D56" s="4"/>
      <c r="E56" s="2"/>
      <c r="F56" s="2"/>
      <c r="G56" s="4"/>
      <c r="H56" s="4"/>
      <c r="I56" s="4"/>
    </row>
    <row r="57" spans="5:9" ht="12.75">
      <c r="E57" s="2"/>
      <c r="F57" s="3"/>
      <c r="G57" s="4"/>
      <c r="H57" s="4"/>
      <c r="I57" s="4"/>
    </row>
    <row r="58" spans="5:6" ht="12.75">
      <c r="E58" s="7"/>
      <c r="F58" s="3"/>
    </row>
    <row r="59" ht="12.75">
      <c r="F59" s="3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K45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1.421875" style="1" customWidth="1"/>
    <col min="2" max="2" width="19.28125" style="1" customWidth="1"/>
    <col min="3" max="3" width="5.8515625" style="1" customWidth="1"/>
    <col min="4" max="4" width="8.8515625" style="1" customWidth="1"/>
    <col min="5" max="5" width="10.7109375" style="1" customWidth="1"/>
    <col min="6" max="6" width="9.140625" style="1" customWidth="1"/>
    <col min="7" max="7" width="7.42187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0" customWidth="1"/>
    <col min="12" max="16384" width="9.140625" style="1" customWidth="1"/>
  </cols>
  <sheetData>
    <row r="2" ht="12.75">
      <c r="B2" s="47" t="s">
        <v>310</v>
      </c>
    </row>
    <row r="4" spans="2:11" ht="15.75">
      <c r="B4" s="75" t="s">
        <v>332</v>
      </c>
      <c r="C4" s="73"/>
      <c r="D4" s="73"/>
      <c r="E4" s="73"/>
      <c r="F4" s="73"/>
      <c r="G4" s="73"/>
      <c r="H4" s="73"/>
      <c r="I4" s="73"/>
      <c r="J4" s="73"/>
      <c r="K4" s="73"/>
    </row>
    <row r="6" spans="2:5" ht="12.75">
      <c r="B6" s="1" t="s">
        <v>94</v>
      </c>
      <c r="C6" s="7">
        <v>400</v>
      </c>
      <c r="D6" s="22" t="s">
        <v>192</v>
      </c>
      <c r="E6" s="7" t="s">
        <v>0</v>
      </c>
    </row>
    <row r="7" spans="2:5" ht="12.75">
      <c r="B7" s="1" t="s">
        <v>157</v>
      </c>
      <c r="C7" s="17">
        <v>0.065</v>
      </c>
      <c r="D7" s="22" t="s">
        <v>255</v>
      </c>
      <c r="E7" s="7" t="s">
        <v>0</v>
      </c>
    </row>
    <row r="8" spans="4:11" ht="12.75">
      <c r="D8" s="22" t="s">
        <v>137</v>
      </c>
      <c r="E8" s="56" t="s">
        <v>204</v>
      </c>
      <c r="F8" s="22" t="s">
        <v>216</v>
      </c>
      <c r="G8" s="22" t="s">
        <v>267</v>
      </c>
      <c r="H8" s="3"/>
      <c r="I8" s="3"/>
      <c r="J8" s="3"/>
      <c r="K8" s="4"/>
    </row>
    <row r="9" spans="2:11" ht="12.75">
      <c r="B9" s="22" t="s">
        <v>57</v>
      </c>
      <c r="C9" s="21"/>
      <c r="D9" s="22" t="s">
        <v>118</v>
      </c>
      <c r="E9" s="56" t="s">
        <v>201</v>
      </c>
      <c r="F9" s="22" t="s">
        <v>256</v>
      </c>
      <c r="G9" s="22" t="s">
        <v>172</v>
      </c>
      <c r="H9" s="22" t="s">
        <v>119</v>
      </c>
      <c r="I9" s="22" t="s">
        <v>156</v>
      </c>
      <c r="J9" s="22" t="s">
        <v>223</v>
      </c>
      <c r="K9" s="22" t="s">
        <v>130</v>
      </c>
    </row>
    <row r="10" spans="5:11" ht="12.75">
      <c r="E10" s="11"/>
      <c r="F10" s="11"/>
      <c r="G10" s="11"/>
      <c r="H10" s="11"/>
      <c r="I10" s="11"/>
      <c r="J10" s="11"/>
      <c r="K10" s="18"/>
    </row>
    <row r="11" spans="2:11" ht="12.75">
      <c r="B11" s="24" t="s">
        <v>315</v>
      </c>
      <c r="C11" s="26"/>
      <c r="D11" s="28">
        <v>1</v>
      </c>
      <c r="E11" s="29">
        <v>2500</v>
      </c>
      <c r="F11" s="29">
        <f>E11*0.2</f>
        <v>500</v>
      </c>
      <c r="G11" s="29">
        <v>10</v>
      </c>
      <c r="H11" s="29">
        <f aca="true" t="shared" si="0" ref="H11:H24">(E11-F11)/G11*D11</f>
        <v>200</v>
      </c>
      <c r="I11" s="29">
        <f aca="true" t="shared" si="1" ref="I11:I24">(E11+F11)/2*C$7*D11</f>
        <v>97.5</v>
      </c>
      <c r="J11" s="29">
        <f aca="true" t="shared" si="2" ref="J11:J24">(E11+F11)/2*0.014*D11</f>
        <v>21</v>
      </c>
      <c r="K11" s="30">
        <f aca="true" t="shared" si="3" ref="K11:K24">(H11+I11+J11)/$C$6</f>
        <v>0.79625</v>
      </c>
    </row>
    <row r="12" spans="2:11" ht="12.75">
      <c r="B12" s="24" t="s">
        <v>64</v>
      </c>
      <c r="C12" s="26"/>
      <c r="D12" s="28">
        <v>1</v>
      </c>
      <c r="E12" s="29">
        <v>120000</v>
      </c>
      <c r="F12" s="29">
        <f>E12*0.2</f>
        <v>24000</v>
      </c>
      <c r="G12" s="29">
        <v>5</v>
      </c>
      <c r="H12" s="29">
        <f t="shared" si="0"/>
        <v>19200</v>
      </c>
      <c r="I12" s="29">
        <f t="shared" si="1"/>
        <v>4680</v>
      </c>
      <c r="J12" s="29">
        <f t="shared" si="2"/>
        <v>1008</v>
      </c>
      <c r="K12" s="30">
        <f t="shared" si="3"/>
        <v>62.22</v>
      </c>
    </row>
    <row r="13" spans="2:11" ht="12.75">
      <c r="B13" s="24" t="s">
        <v>62</v>
      </c>
      <c r="C13" s="26"/>
      <c r="D13" s="28">
        <v>1</v>
      </c>
      <c r="E13" s="29">
        <v>21000</v>
      </c>
      <c r="F13" s="29">
        <f>E13*0.2</f>
        <v>4200</v>
      </c>
      <c r="G13" s="29">
        <v>10</v>
      </c>
      <c r="H13" s="29">
        <f t="shared" si="0"/>
        <v>1680</v>
      </c>
      <c r="I13" s="29">
        <f t="shared" si="1"/>
        <v>819</v>
      </c>
      <c r="J13" s="29">
        <f t="shared" si="2"/>
        <v>176.4</v>
      </c>
      <c r="K13" s="30">
        <f t="shared" si="3"/>
        <v>6.6885</v>
      </c>
    </row>
    <row r="14" spans="2:11" ht="12.75">
      <c r="B14" s="24" t="s">
        <v>272</v>
      </c>
      <c r="C14" s="26"/>
      <c r="D14" s="28">
        <v>1</v>
      </c>
      <c r="E14" s="29">
        <v>26000</v>
      </c>
      <c r="F14" s="29">
        <f>E14*0.2</f>
        <v>5200</v>
      </c>
      <c r="G14" s="29">
        <v>10</v>
      </c>
      <c r="H14" s="29">
        <f t="shared" si="0"/>
        <v>2080</v>
      </c>
      <c r="I14" s="29">
        <f t="shared" si="1"/>
        <v>1014</v>
      </c>
      <c r="J14" s="29">
        <f t="shared" si="2"/>
        <v>218.4</v>
      </c>
      <c r="K14" s="30">
        <f t="shared" si="3"/>
        <v>8.281</v>
      </c>
    </row>
    <row r="15" spans="2:11" ht="12.75">
      <c r="B15" s="24" t="s">
        <v>261</v>
      </c>
      <c r="C15" s="26"/>
      <c r="D15" s="28">
        <v>1</v>
      </c>
      <c r="E15" s="29">
        <v>3600</v>
      </c>
      <c r="F15" s="29">
        <v>500</v>
      </c>
      <c r="G15" s="29">
        <v>5</v>
      </c>
      <c r="H15" s="29">
        <f t="shared" si="0"/>
        <v>620</v>
      </c>
      <c r="I15" s="29">
        <f t="shared" si="1"/>
        <v>133.25</v>
      </c>
      <c r="J15" s="29">
        <f t="shared" si="2"/>
        <v>28.7</v>
      </c>
      <c r="K15" s="30">
        <f t="shared" si="3"/>
        <v>1.9548750000000001</v>
      </c>
    </row>
    <row r="16" spans="2:11" ht="12.75">
      <c r="B16" s="25" t="s">
        <v>313</v>
      </c>
      <c r="C16" s="31"/>
      <c r="D16" s="28">
        <v>1</v>
      </c>
      <c r="E16" s="29">
        <v>80000</v>
      </c>
      <c r="F16" s="29">
        <f aca="true" t="shared" si="4" ref="F16:F24">E16*0.2</f>
        <v>16000</v>
      </c>
      <c r="G16" s="29">
        <v>10</v>
      </c>
      <c r="H16" s="29">
        <f t="shared" si="0"/>
        <v>6400</v>
      </c>
      <c r="I16" s="29">
        <f t="shared" si="1"/>
        <v>3120</v>
      </c>
      <c r="J16" s="29">
        <f t="shared" si="2"/>
        <v>672</v>
      </c>
      <c r="K16" s="30">
        <f t="shared" si="3"/>
        <v>25.48</v>
      </c>
    </row>
    <row r="17" spans="2:11" ht="12.75">
      <c r="B17" s="25" t="s">
        <v>313</v>
      </c>
      <c r="C17" s="31"/>
      <c r="D17" s="28">
        <v>1</v>
      </c>
      <c r="E17" s="29">
        <v>80000</v>
      </c>
      <c r="F17" s="29">
        <f t="shared" si="4"/>
        <v>16000</v>
      </c>
      <c r="G17" s="29">
        <v>8</v>
      </c>
      <c r="H17" s="29">
        <f t="shared" si="0"/>
        <v>8000</v>
      </c>
      <c r="I17" s="29">
        <f t="shared" si="1"/>
        <v>3120</v>
      </c>
      <c r="J17" s="29">
        <f t="shared" si="2"/>
        <v>672</v>
      </c>
      <c r="K17" s="30">
        <f t="shared" si="3"/>
        <v>29.48</v>
      </c>
    </row>
    <row r="18" spans="2:11" ht="12.75">
      <c r="B18" s="25" t="s">
        <v>314</v>
      </c>
      <c r="C18" s="31"/>
      <c r="D18" s="28">
        <v>1</v>
      </c>
      <c r="E18" s="29">
        <v>75000</v>
      </c>
      <c r="F18" s="29">
        <f t="shared" si="4"/>
        <v>15000</v>
      </c>
      <c r="G18" s="29">
        <v>10</v>
      </c>
      <c r="H18" s="29">
        <f t="shared" si="0"/>
        <v>6000</v>
      </c>
      <c r="I18" s="29">
        <f t="shared" si="1"/>
        <v>2925</v>
      </c>
      <c r="J18" s="29">
        <f t="shared" si="2"/>
        <v>630</v>
      </c>
      <c r="K18" s="30">
        <f t="shared" si="3"/>
        <v>23.8875</v>
      </c>
    </row>
    <row r="19" spans="2:11" ht="12.75">
      <c r="B19" s="25" t="s">
        <v>251</v>
      </c>
      <c r="C19" s="31"/>
      <c r="D19" s="28">
        <v>1</v>
      </c>
      <c r="E19" s="29">
        <v>40000</v>
      </c>
      <c r="F19" s="29">
        <f t="shared" si="4"/>
        <v>8000</v>
      </c>
      <c r="G19" s="29">
        <v>5</v>
      </c>
      <c r="H19" s="29">
        <f t="shared" si="0"/>
        <v>6400</v>
      </c>
      <c r="I19" s="29">
        <f t="shared" si="1"/>
        <v>1560</v>
      </c>
      <c r="J19" s="29">
        <f t="shared" si="2"/>
        <v>336</v>
      </c>
      <c r="K19" s="30">
        <f t="shared" si="3"/>
        <v>20.74</v>
      </c>
    </row>
    <row r="20" spans="2:11" ht="12.75">
      <c r="B20" s="25" t="s">
        <v>108</v>
      </c>
      <c r="C20" s="31"/>
      <c r="D20" s="28">
        <v>1</v>
      </c>
      <c r="E20" s="29">
        <v>6500</v>
      </c>
      <c r="F20" s="29">
        <f t="shared" si="4"/>
        <v>1300</v>
      </c>
      <c r="G20" s="29">
        <v>5</v>
      </c>
      <c r="H20" s="29">
        <f t="shared" si="0"/>
        <v>1040</v>
      </c>
      <c r="I20" s="29">
        <f t="shared" si="1"/>
        <v>253.5</v>
      </c>
      <c r="J20" s="29">
        <f t="shared" si="2"/>
        <v>54.6</v>
      </c>
      <c r="K20" s="30">
        <f t="shared" si="3"/>
        <v>3.37025</v>
      </c>
    </row>
    <row r="21" spans="2:11" ht="12.75">
      <c r="B21" s="25" t="s">
        <v>221</v>
      </c>
      <c r="C21" s="31"/>
      <c r="D21" s="28">
        <v>1</v>
      </c>
      <c r="E21" s="32">
        <v>32000</v>
      </c>
      <c r="F21" s="29">
        <f t="shared" si="4"/>
        <v>6400</v>
      </c>
      <c r="G21" s="33">
        <v>10</v>
      </c>
      <c r="H21" s="29">
        <f t="shared" si="0"/>
        <v>2560</v>
      </c>
      <c r="I21" s="29">
        <f t="shared" si="1"/>
        <v>1248</v>
      </c>
      <c r="J21" s="29">
        <f t="shared" si="2"/>
        <v>268.8</v>
      </c>
      <c r="K21" s="30">
        <f t="shared" si="3"/>
        <v>10.192</v>
      </c>
    </row>
    <row r="22" spans="2:11" ht="12.75">
      <c r="B22" s="25" t="s">
        <v>145</v>
      </c>
      <c r="C22" s="31"/>
      <c r="D22" s="28">
        <v>1</v>
      </c>
      <c r="E22" s="32">
        <v>60000</v>
      </c>
      <c r="F22" s="29">
        <f t="shared" si="4"/>
        <v>12000</v>
      </c>
      <c r="G22" s="33">
        <v>10</v>
      </c>
      <c r="H22" s="29">
        <f t="shared" si="0"/>
        <v>4800</v>
      </c>
      <c r="I22" s="29">
        <f t="shared" si="1"/>
        <v>2340</v>
      </c>
      <c r="J22" s="29">
        <f t="shared" si="2"/>
        <v>504</v>
      </c>
      <c r="K22" s="30">
        <f t="shared" si="3"/>
        <v>19.11</v>
      </c>
    </row>
    <row r="23" spans="2:11" ht="12.75">
      <c r="B23" s="25" t="s">
        <v>217</v>
      </c>
      <c r="C23" s="31"/>
      <c r="D23" s="28">
        <v>1</v>
      </c>
      <c r="E23" s="29">
        <v>120000</v>
      </c>
      <c r="F23" s="29">
        <f t="shared" si="4"/>
        <v>24000</v>
      </c>
      <c r="G23" s="33">
        <v>5</v>
      </c>
      <c r="H23" s="29">
        <f t="shared" si="0"/>
        <v>19200</v>
      </c>
      <c r="I23" s="29">
        <f t="shared" si="1"/>
        <v>4680</v>
      </c>
      <c r="J23" s="29">
        <f t="shared" si="2"/>
        <v>1008</v>
      </c>
      <c r="K23" s="30">
        <f t="shared" si="3"/>
        <v>62.22</v>
      </c>
    </row>
    <row r="24" spans="2:11" ht="12.75">
      <c r="B24" s="10" t="s">
        <v>278</v>
      </c>
      <c r="C24" s="10"/>
      <c r="D24" s="58">
        <v>1</v>
      </c>
      <c r="E24" s="2">
        <v>15000</v>
      </c>
      <c r="F24" s="2">
        <f t="shared" si="4"/>
        <v>3000</v>
      </c>
      <c r="G24" s="1">
        <v>10</v>
      </c>
      <c r="H24" s="1">
        <f t="shared" si="0"/>
        <v>1200</v>
      </c>
      <c r="I24" s="1">
        <f t="shared" si="1"/>
        <v>585</v>
      </c>
      <c r="J24" s="1">
        <f t="shared" si="2"/>
        <v>126</v>
      </c>
      <c r="K24" s="10">
        <f t="shared" si="3"/>
        <v>4.7775</v>
      </c>
    </row>
    <row r="25" spans="2:6" ht="12.75">
      <c r="B25" s="10"/>
      <c r="C25" s="10"/>
      <c r="D25" s="3"/>
      <c r="E25" s="2"/>
      <c r="F25" s="2"/>
    </row>
    <row r="26" spans="2:11" ht="12.75">
      <c r="B26" s="10"/>
      <c r="C26" s="10"/>
      <c r="D26" s="3"/>
      <c r="E26" s="2"/>
      <c r="F26" s="2"/>
      <c r="K26" s="1"/>
    </row>
    <row r="27" spans="2:11" ht="13.5" thickBot="1">
      <c r="B27" s="13" t="s">
        <v>240</v>
      </c>
      <c r="D27" s="3"/>
      <c r="E27" s="53">
        <f>SUM(E11:E26)</f>
        <v>681600</v>
      </c>
      <c r="F27" s="54">
        <f>SUM(F11:F26)</f>
        <v>136100</v>
      </c>
      <c r="G27" s="9"/>
      <c r="H27" s="55">
        <f>SUM(H11:H26)</f>
        <v>79380</v>
      </c>
      <c r="I27" s="55">
        <f>SUM(I11:I26)</f>
        <v>26575.25</v>
      </c>
      <c r="J27" s="55">
        <f>SUM(J11:J26)</f>
        <v>5723.9</v>
      </c>
      <c r="K27" s="55">
        <f>SUM(K11:K26)</f>
        <v>279.197875</v>
      </c>
    </row>
    <row r="28" spans="4:11" ht="13.5" thickTop="1">
      <c r="D28" s="3"/>
      <c r="E28" s="40"/>
      <c r="F28" s="40"/>
      <c r="G28" s="3"/>
      <c r="H28" s="40"/>
      <c r="I28" s="40"/>
      <c r="J28" s="40"/>
      <c r="K28" s="52"/>
    </row>
    <row r="29" spans="4:11" ht="12.75">
      <c r="D29" s="3"/>
      <c r="E29" s="3"/>
      <c r="F29" s="3"/>
      <c r="G29" s="3"/>
      <c r="H29" s="3"/>
      <c r="I29" s="2">
        <f>H27</f>
        <v>79380</v>
      </c>
      <c r="J29" s="3"/>
      <c r="K29" s="4"/>
    </row>
    <row r="30" spans="4:11" ht="12.75">
      <c r="D30" s="3"/>
      <c r="E30" s="3"/>
      <c r="F30" s="3"/>
      <c r="G30" s="3"/>
      <c r="H30" s="3"/>
      <c r="I30" s="2">
        <f>I27</f>
        <v>26575.25</v>
      </c>
      <c r="J30" s="3"/>
      <c r="K30" s="4"/>
    </row>
    <row r="31" spans="4:11" ht="12.75">
      <c r="D31" s="3"/>
      <c r="E31" s="3"/>
      <c r="F31" s="3"/>
      <c r="G31" s="3"/>
      <c r="H31" s="3"/>
      <c r="I31" s="2">
        <f>J27</f>
        <v>5723.9</v>
      </c>
      <c r="J31" s="3"/>
      <c r="K31" s="4"/>
    </row>
    <row r="32" spans="4:11" ht="12.75">
      <c r="D32" s="3"/>
      <c r="E32" s="3"/>
      <c r="F32" s="3"/>
      <c r="G32" s="3"/>
      <c r="H32" s="3"/>
      <c r="I32" s="2"/>
      <c r="J32" s="3"/>
      <c r="K32" s="4"/>
    </row>
    <row r="33" spans="2:11" ht="13.5" thickBot="1">
      <c r="B33" s="23" t="s">
        <v>311</v>
      </c>
      <c r="D33" s="3"/>
      <c r="E33" s="3"/>
      <c r="F33" s="3"/>
      <c r="G33" s="3"/>
      <c r="H33" s="3"/>
      <c r="I33" s="38">
        <f>SUM(I29:I32)</f>
        <v>111679.15</v>
      </c>
      <c r="J33" s="3"/>
      <c r="K33" s="4"/>
    </row>
    <row r="34" spans="2:11" ht="14.25" thickBot="1" thickTop="1">
      <c r="B34" s="23" t="s">
        <v>312</v>
      </c>
      <c r="D34" s="3"/>
      <c r="E34" s="3"/>
      <c r="F34" s="3"/>
      <c r="G34" s="3"/>
      <c r="H34" s="3"/>
      <c r="I34" s="57">
        <f>I33/C6</f>
        <v>279.197875</v>
      </c>
      <c r="J34" s="3"/>
      <c r="K34" s="4"/>
    </row>
    <row r="35" spans="4:11" ht="13.5" thickTop="1">
      <c r="D35" s="3"/>
      <c r="E35" s="3"/>
      <c r="F35" s="3"/>
      <c r="G35" s="3"/>
      <c r="H35" s="3"/>
      <c r="I35" s="40"/>
      <c r="J35" s="3"/>
      <c r="K35" s="4"/>
    </row>
    <row r="36" spans="4:11" ht="12.75">
      <c r="D36" s="3"/>
      <c r="E36" s="3"/>
      <c r="F36" s="3"/>
      <c r="G36" s="3"/>
      <c r="H36" s="3"/>
      <c r="I36" s="3"/>
      <c r="J36" s="3"/>
      <c r="K36" s="4"/>
    </row>
    <row r="37" spans="2:11" ht="12.75">
      <c r="B37" s="1" t="s">
        <v>76</v>
      </c>
      <c r="D37" s="3"/>
      <c r="E37" s="3"/>
      <c r="F37" s="3"/>
      <c r="G37" s="3"/>
      <c r="H37" s="3"/>
      <c r="I37" s="3"/>
      <c r="J37" s="3"/>
      <c r="K37" s="4"/>
    </row>
    <row r="38" spans="2:11" ht="12.75">
      <c r="B38" s="1" t="s">
        <v>78</v>
      </c>
      <c r="D38" s="3"/>
      <c r="E38" s="3"/>
      <c r="F38" s="3"/>
      <c r="G38" s="3"/>
      <c r="H38" s="3"/>
      <c r="I38" s="3"/>
      <c r="J38" s="3"/>
      <c r="K38" s="4"/>
    </row>
    <row r="39" spans="1:11" ht="12.75">
      <c r="A39" s="1" t="s">
        <v>83</v>
      </c>
      <c r="D39" s="3"/>
      <c r="E39" s="3"/>
      <c r="F39" s="3"/>
      <c r="G39" s="3"/>
      <c r="H39" s="3"/>
      <c r="I39" s="3"/>
      <c r="J39" s="3"/>
      <c r="K39" s="4"/>
    </row>
    <row r="40" spans="4:11" ht="12.75">
      <c r="D40" s="3"/>
      <c r="E40" s="3"/>
      <c r="F40" s="3"/>
      <c r="G40" s="3"/>
      <c r="H40" s="3"/>
      <c r="I40" s="3"/>
      <c r="J40" s="3"/>
      <c r="K40" s="4"/>
    </row>
    <row r="41" spans="4:11" ht="12.75">
      <c r="D41" s="3"/>
      <c r="E41" s="3"/>
      <c r="F41" s="3"/>
      <c r="G41" s="3"/>
      <c r="H41" s="3"/>
      <c r="I41" s="3"/>
      <c r="J41" s="3"/>
      <c r="K41" s="4"/>
    </row>
    <row r="42" spans="4:11" ht="12.75">
      <c r="D42" s="3"/>
      <c r="E42" s="3"/>
      <c r="F42" s="3"/>
      <c r="G42" s="3"/>
      <c r="H42" s="3"/>
      <c r="I42" s="3"/>
      <c r="J42" s="3"/>
      <c r="K42" s="4"/>
    </row>
    <row r="43" spans="4:11" ht="12.75">
      <c r="D43" s="3"/>
      <c r="E43" s="3"/>
      <c r="F43" s="3"/>
      <c r="G43" s="3"/>
      <c r="H43" s="3"/>
      <c r="I43" s="3"/>
      <c r="J43" s="3"/>
      <c r="K43" s="4"/>
    </row>
    <row r="44" spans="4:11" ht="12.75">
      <c r="D44" s="3"/>
      <c r="E44" s="3"/>
      <c r="F44" s="3"/>
      <c r="G44" s="3"/>
      <c r="H44" s="3"/>
      <c r="I44" s="3"/>
      <c r="J44" s="3"/>
      <c r="K44" s="4"/>
    </row>
    <row r="45" spans="4:11" ht="12.75">
      <c r="D45" s="3"/>
      <c r="E45" s="3"/>
      <c r="F45" s="3"/>
      <c r="G45" s="3"/>
      <c r="H45" s="3"/>
      <c r="I45" s="3"/>
      <c r="J45" s="3"/>
      <c r="K45" s="4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47" t="s">
        <v>310</v>
      </c>
    </row>
    <row r="3" ht="12.75">
      <c r="A3" s="10"/>
    </row>
    <row r="4" spans="1:8" ht="15.75">
      <c r="A4" s="10"/>
      <c r="C4" s="72" t="s">
        <v>333</v>
      </c>
      <c r="D4" s="76"/>
      <c r="E4" s="76"/>
      <c r="F4" s="76"/>
      <c r="G4" s="76"/>
      <c r="H4" s="76"/>
    </row>
    <row r="5" ht="12.75">
      <c r="A5" s="10"/>
    </row>
    <row r="6" spans="1:8" ht="12.75">
      <c r="A6" s="10"/>
      <c r="C6" s="70"/>
      <c r="D6" s="76"/>
      <c r="E6" s="76"/>
      <c r="F6" s="76"/>
      <c r="G6" s="76"/>
      <c r="H6" s="76"/>
    </row>
    <row r="7" spans="1:8" ht="12.75">
      <c r="A7" s="10"/>
      <c r="C7" s="70"/>
      <c r="D7" s="76"/>
      <c r="E7" s="76"/>
      <c r="F7" s="76"/>
      <c r="G7" s="76"/>
      <c r="H7" s="76"/>
    </row>
    <row r="8" ht="12.75">
      <c r="A8" s="10"/>
    </row>
    <row r="9" spans="1:8" ht="12.75">
      <c r="A9" s="10"/>
      <c r="C9" s="71"/>
      <c r="D9" s="77"/>
      <c r="E9" s="77"/>
      <c r="F9" s="77"/>
      <c r="G9" s="77"/>
      <c r="H9" s="77"/>
    </row>
    <row r="10" ht="12.75">
      <c r="A10" s="10"/>
    </row>
    <row r="11" spans="1:7" ht="12.75">
      <c r="A11" s="10"/>
      <c r="B11" s="1" t="s">
        <v>105</v>
      </c>
      <c r="F11" s="14">
        <v>400</v>
      </c>
      <c r="G11" s="10" t="s">
        <v>95</v>
      </c>
    </row>
    <row r="12" spans="1:6" ht="12.75">
      <c r="A12" s="10"/>
      <c r="B12" s="1" t="s">
        <v>218</v>
      </c>
      <c r="D12" s="9">
        <v>40</v>
      </c>
      <c r="E12" s="1" t="s">
        <v>111</v>
      </c>
      <c r="F12" s="9">
        <v>40</v>
      </c>
    </row>
    <row r="13" spans="1:7" ht="12.75">
      <c r="A13" s="10"/>
      <c r="B13" s="1" t="s">
        <v>159</v>
      </c>
      <c r="G13" s="19">
        <v>0.065</v>
      </c>
    </row>
    <row r="14" spans="1:7" ht="12.75">
      <c r="A14" s="10"/>
      <c r="B14" s="1" t="s">
        <v>224</v>
      </c>
      <c r="G14" s="1">
        <v>0.015</v>
      </c>
    </row>
    <row r="15" spans="1:7" ht="12.75">
      <c r="A15" s="10"/>
      <c r="B15" s="1" t="s">
        <v>121</v>
      </c>
      <c r="G15" s="1">
        <v>120</v>
      </c>
    </row>
    <row r="16" ht="12.75">
      <c r="A16" s="10"/>
    </row>
    <row r="17" ht="12.75">
      <c r="A17" s="10"/>
    </row>
    <row r="18" spans="1:2" ht="12.75">
      <c r="A18" s="10"/>
      <c r="B18" s="9" t="s">
        <v>162</v>
      </c>
    </row>
    <row r="19" ht="12.75">
      <c r="A19" s="10"/>
    </row>
    <row r="20" spans="1:9" ht="12.75">
      <c r="A20" s="10"/>
      <c r="E20" s="3" t="s">
        <v>183</v>
      </c>
      <c r="F20" s="3" t="s">
        <v>268</v>
      </c>
      <c r="G20" s="3" t="s">
        <v>120</v>
      </c>
      <c r="H20" s="4" t="s">
        <v>158</v>
      </c>
      <c r="I20" s="4" t="s">
        <v>222</v>
      </c>
    </row>
    <row r="21" spans="1:9" ht="12.75">
      <c r="A21" s="10"/>
      <c r="B21" s="1" t="s">
        <v>195</v>
      </c>
      <c r="E21" s="2">
        <v>10300</v>
      </c>
      <c r="F21" s="2">
        <v>20</v>
      </c>
      <c r="G21" s="2">
        <f aca="true" t="shared" si="0" ref="G21:G27">E21/F21</f>
        <v>515</v>
      </c>
      <c r="H21" s="2">
        <f>(E21/2)*G13</f>
        <v>334.75</v>
      </c>
      <c r="I21" s="2">
        <f>(E21/2)*G14</f>
        <v>77.25</v>
      </c>
    </row>
    <row r="22" spans="1:9" ht="12.75">
      <c r="A22" s="10"/>
      <c r="B22" s="1" t="s">
        <v>279</v>
      </c>
      <c r="E22" s="2">
        <f>95*F11</f>
        <v>38000</v>
      </c>
      <c r="F22" s="2">
        <v>10</v>
      </c>
      <c r="G22" s="2">
        <f t="shared" si="0"/>
        <v>3800</v>
      </c>
      <c r="H22" s="2">
        <f>(E22/2)*G13</f>
        <v>1235</v>
      </c>
      <c r="I22" s="2">
        <f>(E22/2)*G14</f>
        <v>285</v>
      </c>
    </row>
    <row r="23" spans="1:9" ht="12.75">
      <c r="A23" s="10"/>
      <c r="B23" s="1" t="s">
        <v>280</v>
      </c>
      <c r="E23" s="2">
        <f>IF(F11*2&lt;40,4*3*G15,IF(F11*2&lt;175,6*3*G15,IF(F11*2&lt;=600,8*3*G15,12*3*G15)))</f>
        <v>4320</v>
      </c>
      <c r="F23" s="2">
        <v>25</v>
      </c>
      <c r="G23" s="2">
        <f t="shared" si="0"/>
        <v>172.8</v>
      </c>
      <c r="H23" s="2">
        <f>(E23/2)*G13</f>
        <v>140.4</v>
      </c>
      <c r="I23" s="2">
        <f>(E23/2)*G14</f>
        <v>32.4</v>
      </c>
    </row>
    <row r="24" spans="1:9" ht="12.75">
      <c r="A24" s="10"/>
      <c r="B24" s="1" t="s">
        <v>281</v>
      </c>
      <c r="E24" s="2">
        <f>IF(G37=10,1800,IF(G37=20,3500,IF(G37=40,6000,11000)))</f>
        <v>11000</v>
      </c>
      <c r="F24" s="2">
        <v>15</v>
      </c>
      <c r="G24" s="2">
        <f t="shared" si="0"/>
        <v>733.3333333333334</v>
      </c>
      <c r="H24" s="2">
        <f>(E24/2)*G13</f>
        <v>357.5</v>
      </c>
      <c r="I24" s="2">
        <f>(E24/2)*G14</f>
        <v>82.5</v>
      </c>
    </row>
    <row r="25" spans="1:9" ht="12.75">
      <c r="A25" s="10"/>
      <c r="B25" s="1" t="s">
        <v>282</v>
      </c>
      <c r="E25" s="2">
        <f>26*F11</f>
        <v>10400</v>
      </c>
      <c r="F25" s="2">
        <v>10</v>
      </c>
      <c r="G25" s="2">
        <f t="shared" si="0"/>
        <v>1040</v>
      </c>
      <c r="H25" s="2">
        <f>(E25/2)*G13</f>
        <v>338</v>
      </c>
      <c r="I25" s="2">
        <f>(E25/2)*G14</f>
        <v>78</v>
      </c>
    </row>
    <row r="26" spans="1:9" ht="12.75">
      <c r="A26" s="10"/>
      <c r="B26" s="1" t="s">
        <v>283</v>
      </c>
      <c r="E26" s="2">
        <f>SUM(E21:E25)*0.03</f>
        <v>2220.6</v>
      </c>
      <c r="F26" s="2">
        <v>20</v>
      </c>
      <c r="G26" s="2">
        <f t="shared" si="0"/>
        <v>111.03</v>
      </c>
      <c r="H26" s="2">
        <f>(E26/2)*G13</f>
        <v>72.1695</v>
      </c>
      <c r="I26" s="2">
        <f>(E26/2)*G14</f>
        <v>16.6545</v>
      </c>
    </row>
    <row r="27" spans="1:9" ht="12.75">
      <c r="A27" s="10"/>
      <c r="B27" s="1" t="s">
        <v>284</v>
      </c>
      <c r="E27" s="2">
        <v>40000</v>
      </c>
      <c r="F27" s="2">
        <v>20</v>
      </c>
      <c r="G27" s="2">
        <f t="shared" si="0"/>
        <v>2000</v>
      </c>
      <c r="H27" s="2">
        <f>(E27/2)*G13</f>
        <v>1300</v>
      </c>
      <c r="I27" s="2">
        <f>(E27/2)*G14</f>
        <v>300</v>
      </c>
    </row>
    <row r="28" spans="1:9" ht="13.5" thickBot="1">
      <c r="A28" s="10"/>
      <c r="B28" s="9" t="s">
        <v>241</v>
      </c>
      <c r="E28" s="38">
        <f>SUM(E21:E27)</f>
        <v>116240.6</v>
      </c>
      <c r="F28" s="3"/>
      <c r="G28" s="60">
        <f>SUM(G21:G27)</f>
        <v>8372.163333333334</v>
      </c>
      <c r="H28" s="60">
        <f>SUM(H21:H27)</f>
        <v>3777.8195</v>
      </c>
      <c r="I28" s="60">
        <f>SUM(I21:I27)</f>
        <v>871.8045</v>
      </c>
    </row>
    <row r="29" spans="1:9" ht="13.5" thickTop="1">
      <c r="A29" s="10"/>
      <c r="E29" s="40"/>
      <c r="F29" s="3"/>
      <c r="G29" s="40"/>
      <c r="H29" s="40"/>
      <c r="I29" s="40"/>
    </row>
    <row r="30" spans="1:9" ht="13.5" thickBot="1">
      <c r="A30" s="10"/>
      <c r="B30" s="9" t="s">
        <v>234</v>
      </c>
      <c r="E30" s="3"/>
      <c r="F30" s="3"/>
      <c r="G30" s="3"/>
      <c r="H30" s="3"/>
      <c r="I30" s="38">
        <f>G28+H28+I28</f>
        <v>13021.787333333334</v>
      </c>
    </row>
    <row r="31" spans="1:9" ht="13.5" thickTop="1">
      <c r="A31" s="10"/>
      <c r="E31" s="3"/>
      <c r="F31" s="3"/>
      <c r="G31" s="3"/>
      <c r="H31" s="3"/>
      <c r="I31" s="40"/>
    </row>
    <row r="32" spans="1:9" ht="13.5" thickBot="1">
      <c r="A32" s="10"/>
      <c r="B32" s="9" t="s">
        <v>101</v>
      </c>
      <c r="E32" s="3"/>
      <c r="F32" s="3"/>
      <c r="G32" s="3"/>
      <c r="H32" s="3"/>
      <c r="I32" s="37">
        <f>I30/F11</f>
        <v>32.55446833333333</v>
      </c>
    </row>
    <row r="33" spans="1:9" ht="13.5" thickTop="1">
      <c r="A33" s="10"/>
      <c r="E33" s="3"/>
      <c r="F33" s="3"/>
      <c r="G33" s="3"/>
      <c r="H33" s="3"/>
      <c r="I33" s="40"/>
    </row>
    <row r="34" spans="1:9" ht="12.75">
      <c r="A34" s="10"/>
      <c r="E34" s="3"/>
      <c r="F34" s="3"/>
      <c r="G34" s="3"/>
      <c r="H34" s="3"/>
      <c r="I34" s="3"/>
    </row>
    <row r="35" spans="1:9" ht="12.75">
      <c r="A35" s="10"/>
      <c r="B35" s="9" t="s">
        <v>186</v>
      </c>
      <c r="E35" s="3"/>
      <c r="F35" s="3"/>
      <c r="G35" s="3"/>
      <c r="H35" s="3"/>
      <c r="I35" s="3"/>
    </row>
    <row r="36" spans="1:9" ht="12.75">
      <c r="A36" s="10"/>
      <c r="E36" s="3"/>
      <c r="F36" s="3"/>
      <c r="G36" s="3"/>
      <c r="H36" s="3"/>
      <c r="I36" s="3"/>
    </row>
    <row r="37" spans="1:9" ht="12.75">
      <c r="A37" s="10"/>
      <c r="B37" s="1" t="s">
        <v>180</v>
      </c>
      <c r="E37" s="3"/>
      <c r="F37" s="3"/>
      <c r="G37" s="2">
        <v>7.5</v>
      </c>
      <c r="H37" s="3"/>
      <c r="I37" s="3"/>
    </row>
    <row r="38" spans="1:9" ht="12.75">
      <c r="A38" s="10"/>
      <c r="B38" s="1" t="s">
        <v>211</v>
      </c>
      <c r="E38" s="3"/>
      <c r="F38" s="3"/>
      <c r="G38" s="2">
        <f>(E28-E26-E27)*0.005+25+(E22*0.12)</f>
        <v>4955.1</v>
      </c>
      <c r="H38" s="3"/>
      <c r="I38" s="3"/>
    </row>
    <row r="39" spans="1:9" ht="12.75">
      <c r="A39" s="10"/>
      <c r="B39" s="1" t="s">
        <v>102</v>
      </c>
      <c r="E39" s="3"/>
      <c r="F39" s="3"/>
      <c r="G39" s="2">
        <v>1820</v>
      </c>
      <c r="H39" s="3"/>
      <c r="I39" s="3"/>
    </row>
    <row r="40" spans="1:9" ht="12.75">
      <c r="A40" s="10"/>
      <c r="B40" s="1" t="s">
        <v>123</v>
      </c>
      <c r="E40" s="3"/>
      <c r="F40" s="3"/>
      <c r="G40" s="2"/>
      <c r="H40" s="3"/>
      <c r="I40" s="3"/>
    </row>
    <row r="41" spans="1:9" ht="12.75">
      <c r="A41" s="10"/>
      <c r="B41" s="1" t="s">
        <v>11</v>
      </c>
      <c r="E41" s="3"/>
      <c r="F41" s="3"/>
      <c r="G41" s="2">
        <f>G37*12</f>
        <v>90</v>
      </c>
      <c r="H41" s="3"/>
      <c r="I41" s="3"/>
    </row>
    <row r="42" spans="1:9" ht="12.75">
      <c r="A42" s="10"/>
      <c r="B42" s="1" t="s">
        <v>32</v>
      </c>
      <c r="E42" s="3"/>
      <c r="F42" s="3"/>
      <c r="G42" s="4">
        <v>0.08</v>
      </c>
      <c r="H42" s="3"/>
      <c r="I42" s="3"/>
    </row>
    <row r="43" spans="1:9" ht="12.75">
      <c r="A43" s="10"/>
      <c r="B43" s="1" t="s">
        <v>99</v>
      </c>
      <c r="E43" s="3"/>
      <c r="F43" s="3"/>
      <c r="G43" s="2">
        <f>(G37*0.746*G42*G39)+G41</f>
        <v>904.632</v>
      </c>
      <c r="H43" s="3"/>
      <c r="I43" s="3"/>
    </row>
    <row r="44" spans="1:9" ht="12.75">
      <c r="A44" s="10"/>
      <c r="B44" s="1" t="s">
        <v>100</v>
      </c>
      <c r="E44" s="3"/>
      <c r="F44" s="3"/>
      <c r="G44" s="3"/>
      <c r="H44" s="3"/>
      <c r="I44" s="4">
        <f>G43/F11</f>
        <v>2.26158</v>
      </c>
    </row>
    <row r="45" spans="1:9" ht="13.5" thickBot="1">
      <c r="A45" s="10"/>
      <c r="B45" s="9" t="s">
        <v>185</v>
      </c>
      <c r="E45" s="3"/>
      <c r="F45" s="3"/>
      <c r="G45" s="3"/>
      <c r="H45" s="3"/>
      <c r="I45" s="37">
        <f>(G38+G43)/F11</f>
        <v>14.649329999999999</v>
      </c>
    </row>
    <row r="46" spans="1:9" ht="13.5" thickTop="1">
      <c r="A46" s="10"/>
      <c r="E46" s="3"/>
      <c r="F46" s="3"/>
      <c r="G46" s="3"/>
      <c r="H46" s="3"/>
      <c r="I46" s="40"/>
    </row>
    <row r="47" spans="1:9" ht="12.75">
      <c r="A47" s="10"/>
      <c r="E47" s="3"/>
      <c r="F47" s="3"/>
      <c r="G47" s="3"/>
      <c r="H47" s="3"/>
      <c r="I47" s="3"/>
    </row>
    <row r="48" spans="1:9" ht="13.5" thickBot="1">
      <c r="A48" s="10"/>
      <c r="B48" s="9" t="s">
        <v>233</v>
      </c>
      <c r="E48" s="3"/>
      <c r="F48" s="3"/>
      <c r="G48" s="3"/>
      <c r="H48" s="3"/>
      <c r="I48" s="37">
        <f>I32+I45</f>
        <v>47.20379833333333</v>
      </c>
    </row>
    <row r="49" spans="1:9" ht="13.5" thickTop="1">
      <c r="A49" s="10"/>
      <c r="E49" s="3"/>
      <c r="F49" s="3"/>
      <c r="G49" s="3"/>
      <c r="H49" s="3"/>
      <c r="I49" s="40"/>
    </row>
    <row r="50" spans="1:9" ht="12.75">
      <c r="A50" s="10"/>
      <c r="E50" s="3"/>
      <c r="F50" s="3"/>
      <c r="G50" s="3"/>
      <c r="H50" s="3"/>
      <c r="I50" s="3"/>
    </row>
    <row r="51" spans="1:9" ht="12.75">
      <c r="A51" s="10"/>
      <c r="E51" s="3"/>
      <c r="F51" s="3"/>
      <c r="G51" s="3"/>
      <c r="H51" s="3"/>
      <c r="I51" s="3"/>
    </row>
    <row r="52" spans="1:9" ht="12.75">
      <c r="A52" s="10"/>
      <c r="E52" s="3"/>
      <c r="F52" s="3"/>
      <c r="G52" s="3"/>
      <c r="H52" s="3"/>
      <c r="I52" s="3"/>
    </row>
    <row r="53" spans="1:9" ht="12.75">
      <c r="A53" s="10"/>
      <c r="E53" s="3"/>
      <c r="F53" s="3"/>
      <c r="G53" s="3"/>
      <c r="H53" s="3"/>
      <c r="I53" s="3"/>
    </row>
    <row r="54" spans="1:9" ht="12.75">
      <c r="A54" s="10" t="s">
        <v>83</v>
      </c>
      <c r="E54" s="3"/>
      <c r="F54" s="3"/>
      <c r="G54" s="3"/>
      <c r="H54" s="3"/>
      <c r="I54" s="3"/>
    </row>
    <row r="55" spans="1:9" ht="12.75">
      <c r="A55" s="10"/>
      <c r="E55" s="3"/>
      <c r="F55" s="3"/>
      <c r="G55" s="3"/>
      <c r="H55" s="3"/>
      <c r="I55" s="3"/>
    </row>
    <row r="56" spans="1:9" ht="12.75">
      <c r="A56" s="10"/>
      <c r="E56" s="3"/>
      <c r="F56" s="3"/>
      <c r="G56" s="3"/>
      <c r="H56" s="3"/>
      <c r="I56" s="3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="88" zoomScaleNormal="88" zoomScalePageLayoutView="0" workbookViewId="0" topLeftCell="A1">
      <selection activeCell="J30" sqref="J30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.75">
      <c r="D4" s="69" t="s">
        <v>190</v>
      </c>
      <c r="E4" s="73"/>
      <c r="F4" s="73"/>
    </row>
    <row r="6" ht="12.75">
      <c r="C6" s="9" t="s">
        <v>227</v>
      </c>
    </row>
    <row r="8" spans="2:8" ht="12.75">
      <c r="B8" s="3"/>
      <c r="C8" s="3"/>
      <c r="D8" s="3"/>
      <c r="E8" s="3"/>
      <c r="F8" s="3" t="s">
        <v>213</v>
      </c>
      <c r="G8" s="3"/>
      <c r="H8" s="3" t="s">
        <v>213</v>
      </c>
    </row>
    <row r="9" spans="2:8" ht="12.75">
      <c r="B9" s="3" t="s">
        <v>264</v>
      </c>
      <c r="C9" s="3" t="s">
        <v>265</v>
      </c>
      <c r="D9" s="3" t="s">
        <v>201</v>
      </c>
      <c r="E9" s="3" t="s">
        <v>257</v>
      </c>
      <c r="F9" s="3" t="s">
        <v>257</v>
      </c>
      <c r="G9" s="3" t="s">
        <v>235</v>
      </c>
      <c r="H9" s="3" t="s">
        <v>235</v>
      </c>
    </row>
    <row r="11" spans="2:8" ht="12.75">
      <c r="B11" s="3">
        <v>1</v>
      </c>
      <c r="C11" s="3">
        <v>0</v>
      </c>
      <c r="D11" s="8">
        <v>0</v>
      </c>
      <c r="E11" s="4">
        <f>Yr1!H32</f>
        <v>1580.5711581148184</v>
      </c>
      <c r="F11" s="4">
        <f aca="true" t="shared" si="0" ref="F11:F25">(C11*D11)-E11</f>
        <v>-1580.5711581148184</v>
      </c>
      <c r="G11" s="4">
        <f>Yr1!H32</f>
        <v>1580.5711581148184</v>
      </c>
      <c r="H11" s="4">
        <f aca="true" t="shared" si="1" ref="H11:H25">(C11*D11)-G11</f>
        <v>-1580.5711581148184</v>
      </c>
    </row>
    <row r="12" spans="2:8" ht="12.75">
      <c r="B12" s="3">
        <v>2</v>
      </c>
      <c r="C12" s="3">
        <v>0</v>
      </c>
      <c r="D12" s="8">
        <v>0</v>
      </c>
      <c r="E12" s="4">
        <f>Yr2!H$33</f>
        <v>1709.0942858333333</v>
      </c>
      <c r="F12" s="4">
        <f t="shared" si="0"/>
        <v>-1709.0942858333333</v>
      </c>
      <c r="G12" s="4">
        <f>Yr2!H33</f>
        <v>1709.0942858333333</v>
      </c>
      <c r="H12" s="4">
        <f t="shared" si="1"/>
        <v>-1709.0942858333333</v>
      </c>
    </row>
    <row r="13" spans="2:8" ht="12.75">
      <c r="B13" s="3">
        <v>3</v>
      </c>
      <c r="C13" s="3">
        <v>0</v>
      </c>
      <c r="D13" s="8">
        <v>0</v>
      </c>
      <c r="E13" s="4">
        <f>Yr2!H$33</f>
        <v>1709.0942858333333</v>
      </c>
      <c r="F13" s="4">
        <f t="shared" si="0"/>
        <v>-1709.0942858333333</v>
      </c>
      <c r="G13" s="4">
        <f>Yr2!H33</f>
        <v>1709.0942858333333</v>
      </c>
      <c r="H13" s="4">
        <f t="shared" si="1"/>
        <v>-1709.0942858333333</v>
      </c>
    </row>
    <row r="14" spans="2:8" ht="12.75">
      <c r="B14" s="3">
        <v>4</v>
      </c>
      <c r="C14" s="3">
        <v>0</v>
      </c>
      <c r="D14" s="8">
        <v>0</v>
      </c>
      <c r="E14" s="4">
        <f>Yr2!H$33</f>
        <v>1709.0942858333333</v>
      </c>
      <c r="F14" s="4">
        <f t="shared" si="0"/>
        <v>-1709.0942858333333</v>
      </c>
      <c r="G14" s="4">
        <f>Yr2!H33</f>
        <v>1709.0942858333333</v>
      </c>
      <c r="H14" s="4">
        <f t="shared" si="1"/>
        <v>-1709.0942858333333</v>
      </c>
    </row>
    <row r="15" spans="2:8" ht="12.75">
      <c r="B15" s="3">
        <v>5</v>
      </c>
      <c r="C15" s="3">
        <v>0</v>
      </c>
      <c r="D15" s="8">
        <v>0</v>
      </c>
      <c r="E15" s="4">
        <f>Yr3!H$36</f>
        <v>1607.6212183333332</v>
      </c>
      <c r="F15" s="4">
        <f t="shared" si="0"/>
        <v>-1607.6212183333332</v>
      </c>
      <c r="G15" s="4">
        <f>Yr3!H36</f>
        <v>1607.6212183333332</v>
      </c>
      <c r="H15" s="4">
        <f t="shared" si="1"/>
        <v>-1607.6212183333332</v>
      </c>
    </row>
    <row r="16" spans="2:8" ht="12.75">
      <c r="B16" s="3">
        <v>6</v>
      </c>
      <c r="C16" s="3">
        <v>0</v>
      </c>
      <c r="D16" s="8">
        <v>0</v>
      </c>
      <c r="E16" s="4">
        <f>Yr3!H$36</f>
        <v>1607.6212183333332</v>
      </c>
      <c r="F16" s="4">
        <f t="shared" si="0"/>
        <v>-1607.6212183333332</v>
      </c>
      <c r="G16" s="4">
        <f>Yr3!H36</f>
        <v>1607.6212183333332</v>
      </c>
      <c r="H16" s="4">
        <f t="shared" si="1"/>
        <v>-1607.6212183333332</v>
      </c>
    </row>
    <row r="17" spans="2:8" ht="12.75">
      <c r="B17" s="3">
        <v>7</v>
      </c>
      <c r="C17" s="3">
        <v>0</v>
      </c>
      <c r="D17" s="8">
        <v>0</v>
      </c>
      <c r="E17" s="4">
        <f>Yr3!H$36</f>
        <v>1607.6212183333332</v>
      </c>
      <c r="F17" s="4">
        <f t="shared" si="0"/>
        <v>-1607.6212183333332</v>
      </c>
      <c r="G17" s="4">
        <f>Yr3!H36</f>
        <v>1607.6212183333332</v>
      </c>
      <c r="H17" s="4">
        <f t="shared" si="1"/>
        <v>-1607.6212183333332</v>
      </c>
    </row>
    <row r="18" spans="2:8" ht="12.75">
      <c r="B18" s="3">
        <v>8</v>
      </c>
      <c r="C18" s="3">
        <v>1200</v>
      </c>
      <c r="D18" s="8">
        <v>2</v>
      </c>
      <c r="E18" s="4">
        <f>Bud!I$47</f>
        <v>1371.9</v>
      </c>
      <c r="F18" s="4">
        <f t="shared" si="0"/>
        <v>1028.1</v>
      </c>
      <c r="G18" s="4">
        <f>Yr3!H36+(C18*0.13)</f>
        <v>1763.6212183333332</v>
      </c>
      <c r="H18" s="4">
        <f t="shared" si="1"/>
        <v>636.3787816666668</v>
      </c>
    </row>
    <row r="19" spans="2:8" ht="12.75">
      <c r="B19" s="3">
        <v>9</v>
      </c>
      <c r="C19" s="3">
        <v>1200</v>
      </c>
      <c r="D19" s="8">
        <v>2</v>
      </c>
      <c r="E19" s="4">
        <f>Bud!I$47</f>
        <v>1371.9</v>
      </c>
      <c r="F19" s="4">
        <f t="shared" si="0"/>
        <v>1028.1</v>
      </c>
      <c r="G19" s="4">
        <f>Yr3!H36+(C19*0.13)</f>
        <v>1763.6212183333332</v>
      </c>
      <c r="H19" s="4">
        <f t="shared" si="1"/>
        <v>636.3787816666668</v>
      </c>
    </row>
    <row r="20" spans="2:9" ht="12.75">
      <c r="B20" s="3">
        <v>10</v>
      </c>
      <c r="C20" s="3">
        <v>1200</v>
      </c>
      <c r="D20" s="8">
        <v>2.5</v>
      </c>
      <c r="E20" s="4">
        <f>Bud!I$47</f>
        <v>1371.9</v>
      </c>
      <c r="F20" s="4">
        <f t="shared" si="0"/>
        <v>1628.1</v>
      </c>
      <c r="G20" s="4">
        <f>Bud!I37+Bud!I56+(C20*0.13)</f>
        <v>1606.9866733333333</v>
      </c>
      <c r="H20" s="4">
        <f t="shared" si="1"/>
        <v>1393.0133266666667</v>
      </c>
      <c r="I20" s="9" t="s">
        <v>77</v>
      </c>
    </row>
    <row r="21" spans="2:8" ht="12.75">
      <c r="B21" s="3">
        <v>11</v>
      </c>
      <c r="C21" s="3">
        <v>1300</v>
      </c>
      <c r="D21" s="8">
        <v>2.5</v>
      </c>
      <c r="E21" s="4">
        <f>Bud!I$47</f>
        <v>1371.9</v>
      </c>
      <c r="F21" s="4">
        <f t="shared" si="0"/>
        <v>1878.1</v>
      </c>
      <c r="G21" s="4">
        <f>Bud!I37+Bud!I56+(C21*0.13)</f>
        <v>1619.9866733333333</v>
      </c>
      <c r="H21" s="4">
        <f t="shared" si="1"/>
        <v>1630.0133266666667</v>
      </c>
    </row>
    <row r="22" spans="2:8" ht="12.75">
      <c r="B22" s="3">
        <v>12</v>
      </c>
      <c r="C22" s="3">
        <v>1400</v>
      </c>
      <c r="D22" s="8">
        <v>2.85</v>
      </c>
      <c r="E22" s="4">
        <f>Bud!I$47</f>
        <v>1371.9</v>
      </c>
      <c r="F22" s="4">
        <f t="shared" si="0"/>
        <v>2618.1</v>
      </c>
      <c r="G22" s="4">
        <f>Bud!I37+Bud!I56+(C22*0.13)</f>
        <v>1632.9866733333333</v>
      </c>
      <c r="H22" s="4">
        <f t="shared" si="1"/>
        <v>2357.0133266666667</v>
      </c>
    </row>
    <row r="23" spans="2:8" ht="12.75">
      <c r="B23" s="3">
        <v>13</v>
      </c>
      <c r="C23" s="3">
        <v>1500</v>
      </c>
      <c r="D23" s="8">
        <v>2.75</v>
      </c>
      <c r="E23" s="4">
        <f>Bud!I$47</f>
        <v>1371.9</v>
      </c>
      <c r="F23" s="4">
        <f t="shared" si="0"/>
        <v>2753.1</v>
      </c>
      <c r="G23" s="4">
        <f>Bud!I37+Bud!I56+(C23*0.13)</f>
        <v>1645.9866733333333</v>
      </c>
      <c r="H23" s="4">
        <f t="shared" si="1"/>
        <v>2479.0133266666667</v>
      </c>
    </row>
    <row r="24" spans="2:8" ht="12.75">
      <c r="B24" s="3">
        <v>14</v>
      </c>
      <c r="C24" s="3">
        <v>1500</v>
      </c>
      <c r="D24" s="8">
        <v>2.65</v>
      </c>
      <c r="E24" s="4">
        <f>Bud!I$47</f>
        <v>1371.9</v>
      </c>
      <c r="F24" s="4">
        <f t="shared" si="0"/>
        <v>2603.1</v>
      </c>
      <c r="G24" s="4">
        <f>Bud!I37+Bud!I56+(C24*0.13)</f>
        <v>1645.9866733333333</v>
      </c>
      <c r="H24" s="4">
        <f t="shared" si="1"/>
        <v>2329.0133266666667</v>
      </c>
    </row>
    <row r="25" spans="2:8" ht="12.75">
      <c r="B25" s="3">
        <v>15</v>
      </c>
      <c r="C25" s="3">
        <v>1600</v>
      </c>
      <c r="D25" s="8">
        <v>2.55</v>
      </c>
      <c r="E25" s="4">
        <f>Bud!I$47</f>
        <v>1371.9</v>
      </c>
      <c r="F25" s="4">
        <f t="shared" si="0"/>
        <v>2708.0999999999995</v>
      </c>
      <c r="G25" s="4">
        <f>Bud!I37+Bud!I56+(C25*0.13)</f>
        <v>1658.9866733333333</v>
      </c>
      <c r="H25" s="4">
        <f t="shared" si="1"/>
        <v>2421.013326666666</v>
      </c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"/>
      <c r="C27" s="9" t="s">
        <v>77</v>
      </c>
      <c r="D27" s="3" t="s">
        <v>228</v>
      </c>
      <c r="E27" s="3"/>
      <c r="F27" s="3"/>
      <c r="G27" s="3"/>
      <c r="H27" s="3"/>
    </row>
    <row r="28" spans="2:8" ht="12.75">
      <c r="B28" s="3"/>
      <c r="C28" s="3"/>
      <c r="D28" s="3" t="s">
        <v>153</v>
      </c>
      <c r="E28" s="3"/>
      <c r="F28" s="3"/>
      <c r="G28" s="3"/>
      <c r="H28" s="3"/>
    </row>
    <row r="30" ht="12.75">
      <c r="C30" s="1" t="s">
        <v>83</v>
      </c>
    </row>
    <row r="31" ht="12.75">
      <c r="B31" s="1" t="s">
        <v>83</v>
      </c>
    </row>
    <row r="34" ht="12.75"/>
    <row r="35" ht="12.75"/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2020-03-13T18:36:07Z</cp:lastPrinted>
  <dcterms:created xsi:type="dcterms:W3CDTF">2017-01-27T13:31:33Z</dcterms:created>
  <dcterms:modified xsi:type="dcterms:W3CDTF">2020-03-13T18:39:52Z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