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M" sheetId="12" r:id="rId12"/>
    <sheet name="N" sheetId="13" r:id="rId13"/>
  </sheets>
  <externalReferences>
    <externalReference r:id="rId16"/>
    <externalReference r:id="rId17"/>
  </externalReferences>
  <definedNames>
    <definedName name="\AUTOEXEC">'Bud'!$U$139:$U$141</definedName>
    <definedName name="\C">'Bud'!$I$140:$I$180</definedName>
    <definedName name="\FLOW">'N'!$E$1:$E$4</definedName>
    <definedName name="\T">'Bud'!$C$140:$C$180</definedName>
    <definedName name="\TOTAL">'N'!$B$1:$B$4</definedName>
    <definedName name="\V">'Bud'!$O$139:$O$179</definedName>
    <definedName name="\VARIABLE">'N'!$H$1:$H$4</definedName>
    <definedName name="\X">'Bud'!$F$140:$F$180</definedName>
    <definedName name="\Y">'Bud'!$L$146:$L$186</definedName>
    <definedName name="\Z">'Bud'!$R$139:$R$179</definedName>
    <definedName name="ENR">'Bud'!$O$95:$O$95</definedName>
    <definedName name="ENR_MNR">'Bud'!$O$95:$O$95</definedName>
    <definedName name="ETR">'Bud'!$M$94:$M$94</definedName>
    <definedName name="EXPP">'Bud'!$O$76:$O$76</definedName>
    <definedName name="EXPY">'Bud'!$M$76:$M$76</definedName>
    <definedName name="MEDP">'Bud'!$G$19:$G$19</definedName>
    <definedName name="MEDY">'Bud'!$G$18:$G$18</definedName>
    <definedName name="MNR">'Bud'!$M$96:$M$96</definedName>
    <definedName name="MTC">'Bud'!$O$94:$O$94</definedName>
    <definedName name="MTCV">'Bud'!$O$94:$O$94</definedName>
    <definedName name="MTR">'Bud'!$M$95:$M$95</definedName>
    <definedName name="STRHH">'Bud'!$M$90:$M$90</definedName>
    <definedName name="STRHL">'Bud'!$M$91:$M$91</definedName>
    <definedName name="STRLH">'Bud'!$O$91:$O$91</definedName>
    <definedName name="STRLL">'Bud'!$O$90:$O$90</definedName>
    <definedName name="STRO">'Bud'!$M$92:$M$92</definedName>
    <definedName name="STRP">'Bud'!$O$92:$O$92</definedName>
    <definedName name="UNIT">'Bud'!$I$13:$I$13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<sst xmlns="http://schemas.openxmlformats.org/spreadsheetml/2006/main" count="999" uniqueCount="363">
  <si>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</si>
  <si>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</si>
  <si>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</si>
  <si>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</si>
  <si>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</si>
  <si>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</si>
  <si>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</si>
  <si>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</si>
  <si>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</si>
  <si>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</si>
  <si>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</si>
  <si>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</si>
  <si>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</si>
  <si>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</si>
  <si>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</si>
  <si>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</si>
  <si>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</si>
  <si>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</si>
  <si>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</si>
  <si>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</si>
  <si>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</si>
  <si>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</si>
  <si>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</si>
  <si>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</si>
  <si>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</si>
  <si>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</si>
  <si>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</si>
  <si>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</si>
  <si>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</si>
  <si>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</si>
  <si>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</si>
  <si>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</si>
  <si>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</si>
  <si>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</si>
  <si>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</si>
  <si>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</si>
  <si>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</si>
  <si>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</si>
  <si>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</si>
  <si>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</si>
  <si>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</si>
  <si>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</si>
  <si>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</si>
  <si>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</si>
  <si>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</si>
  <si>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</si>
  <si>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</si>
  <si>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</si>
  <si>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</si>
  <si>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</si>
  <si>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</si>
  <si>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</si>
  <si>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</si>
  <si>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</si>
  <si>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</si>
  <si>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</si>
  <si>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</si>
  <si>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</si>
  <si>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</si>
  <si>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</si>
  <si>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</si>
  <si>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</si>
  <si>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</si>
  <si>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</si>
  <si>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</si>
  <si>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</si>
  <si>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</si>
  <si>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</si>
  <si>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</si>
  <si>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</si>
  <si>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</si>
  <si>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</si>
  <si>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</si>
  <si>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</si>
  <si>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</si>
  <si>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</si>
  <si>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</si>
  <si>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</si>
  <si>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</si>
  <si>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</si>
  <si>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</si>
  <si>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</si>
  <si>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</si>
  <si>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</si>
  <si>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</si>
  <si>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</si>
  <si>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</si>
  <si>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</si>
  <si>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</si>
  <si>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</si>
  <si>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</si>
  <si>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</si>
  <si>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</si>
  <si>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</si>
  <si>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</si>
  <si>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</si>
  <si>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</si>
  <si>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</si>
  <si>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</si>
  <si>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</si>
  <si>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</si>
  <si>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</si>
  <si>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</si>
  <si>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</si>
  <si>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</si>
  <si>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</si>
  <si>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</si>
  <si>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</si>
  <si>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</si>
  <si>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</si>
  <si>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</si>
  <si>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</si>
  <si>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Costs Per Lb.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</si>
  <si>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</si>
  <si>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</si>
  <si>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</si>
  <si>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</si>
  <si>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</si>
  <si>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</si>
  <si>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</si>
  <si>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</si>
  <si>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</si>
  <si>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</si>
  <si>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</si>
  <si>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</si>
  <si>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</si>
  <si>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</si>
  <si>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</si>
  <si>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</si>
  <si>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</si>
  <si>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Foliar B</t>
  </si>
  <si>
    <t>Foliar Zn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</si>
  <si>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</si>
  <si>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</si>
  <si>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</si>
  <si>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</si>
  <si>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</si>
  <si>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</si>
  <si>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</si>
  <si>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</si>
  <si>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</si>
  <si>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</si>
  <si>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</si>
  <si>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</si>
  <si>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</si>
  <si>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</si>
  <si>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</si>
  <si>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</si>
  <si>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</si>
  <si>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</si>
  <si>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</si>
  <si>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</si>
  <si>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</si>
  <si>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</si>
  <si>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</si>
  <si>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</si>
  <si>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</si>
  <si>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</si>
  <si>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</si>
  <si>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</si>
  <si>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</si>
  <si>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</si>
  <si>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</si>
  <si>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</si>
  <si>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</si>
  <si>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</si>
  <si>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</si>
  <si>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</si>
  <si>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</si>
  <si>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</si>
  <si>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</si>
  <si>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</si>
  <si>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</si>
  <si>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</si>
  <si>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</si>
  <si>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</si>
  <si>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</si>
  <si>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</si>
  <si>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</si>
  <si>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</si>
  <si>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</si>
  <si>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</si>
  <si>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</si>
  <si>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</si>
  <si>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</si>
  <si>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</si>
  <si>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</si>
  <si>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</si>
  <si>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</si>
  <si>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</si>
  <si>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</si>
  <si>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</si>
  <si>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</si>
  <si>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</si>
  <si>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</si>
  <si>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</si>
  <si>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</si>
  <si>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</si>
  <si>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</si>
  <si>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</si>
  <si>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</si>
  <si>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</si>
  <si>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</si>
  <si>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</si>
  <si>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</si>
  <si>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</si>
  <si>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</si>
  <si>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</si>
  <si>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</si>
  <si>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</si>
  <si>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</si>
  <si>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</si>
  <si>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</si>
  <si>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</si>
  <si>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</si>
  <si>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</si>
  <si>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</si>
  <si>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</si>
  <si>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</si>
  <si>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</si>
  <si>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</si>
  <si>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</si>
  <si>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</si>
  <si>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</si>
  <si>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</si>
  <si>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</si>
  <si>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</si>
  <si>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</si>
  <si>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</si>
  <si>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</si>
  <si>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</si>
  <si>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</si>
  <si>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</si>
  <si>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</si>
  <si>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</si>
  <si>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</si>
  <si>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</si>
  <si>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</si>
  <si>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</si>
  <si>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</si>
  <si>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</si>
  <si>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</si>
  <si>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</si>
  <si>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</si>
  <si>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Value</t>
  </si>
  <si>
    <t>Var. Cost</t>
  </si>
  <si>
    <t>Variable Cost Budget</t>
  </si>
  <si>
    <t>Variable Costs</t>
  </si>
  <si>
    <t>VOLUME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</si>
  <si>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</si>
  <si>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</si>
  <si>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</si>
  <si>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</si>
  <si>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</si>
  <si>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</si>
  <si>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</si>
  <si>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</si>
  <si>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</si>
  <si>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</si>
  <si>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</si>
  <si>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</si>
  <si>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</si>
  <si>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</si>
  <si>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</si>
  <si>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</si>
  <si>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</si>
  <si>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</si>
  <si>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</si>
  <si>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</si>
  <si>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</si>
  <si>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</si>
  <si>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</si>
  <si>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</si>
  <si>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</si>
  <si>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</si>
  <si>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</si>
  <si>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</si>
  <si>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</si>
  <si>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</si>
  <si>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</si>
  <si>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</si>
  <si>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</si>
  <si>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</si>
  <si>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</si>
  <si>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</si>
  <si>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</si>
  <si>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</si>
  <si>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</si>
  <si>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</si>
  <si>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</si>
  <si>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</si>
  <si>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</si>
  <si>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</si>
  <si>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</si>
  <si>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</si>
  <si>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</si>
  <si>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</si>
  <si>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</si>
  <si>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</si>
  <si>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</si>
  <si>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</si>
  <si>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</si>
  <si>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</si>
  <si>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</si>
  <si>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</si>
  <si>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</si>
  <si>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</si>
  <si>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</si>
  <si>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</si>
  <si>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</si>
  <si>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</si>
  <si>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</si>
  <si>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</si>
  <si>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</si>
  <si>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</si>
  <si>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</si>
  <si>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Prepared by Esendugue Greg Fonsah,  Jake Price and Ben Cantrell</t>
  </si>
  <si>
    <t>UGA, Ag and Applied Econ Dept., and Agent Coordinators, Lowndes and Effingham Counties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</si>
  <si>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</si>
  <si>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</si>
  <si>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</si>
  <si>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</si>
  <si>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</si>
  <si>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</si>
  <si>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</si>
  <si>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</si>
  <si>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</si>
  <si>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</si>
  <si>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</si>
  <si>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</si>
  <si>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</si>
  <si>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</si>
  <si>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</si>
  <si>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</si>
  <si>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</si>
  <si>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</si>
  <si>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</si>
  <si>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</si>
  <si>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</si>
  <si>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</si>
  <si>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</si>
  <si>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</si>
  <si>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</si>
  <si>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</si>
  <si>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</si>
  <si>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</si>
  <si>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</si>
  <si>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</si>
  <si>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 xml:space="preserve">  Opt</t>
  </si>
  <si>
    <t xml:space="preserve">  Pess</t>
  </si>
  <si>
    <t>for Crop</t>
  </si>
  <si>
    <t>% Use</t>
  </si>
  <si>
    <t>by 40</t>
  </si>
  <si>
    <t>Harvesting &amp; hauling</t>
  </si>
  <si>
    <t>Cost Per Acre For Georgia Satsuma</t>
  </si>
  <si>
    <t>3rd Estimated Annual Maintenance Cost For Satsuma</t>
  </si>
  <si>
    <t xml:space="preserve">ESTIMATED TOTAL ANNUAL FIXED MACHINERY COSTS FOR SATSUMA </t>
  </si>
  <si>
    <t>Net</t>
  </si>
  <si>
    <t>Profit</t>
  </si>
  <si>
    <t>$-Price/lb</t>
  </si>
  <si>
    <t xml:space="preserve"> 6+ Years - SATSUMA BUDGET - FRESH MARKET</t>
  </si>
  <si>
    <t>BE Total cost per acre</t>
  </si>
  <si>
    <t xml:space="preserve">      6TH+ YEARS PRODUCTION - SATSUMA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</si>
</sst>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5" fillId="2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9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0" fontId="7" fillId="35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1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1" fillId="2" borderId="11" xfId="0" applyNumberFormat="1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52" fillId="2" borderId="10" xfId="0" applyFont="1" applyFill="1" applyBorder="1" applyAlignment="1">
      <alignment/>
    </xf>
    <xf numFmtId="0" fontId="53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4" fillId="2" borderId="10" xfId="0" applyFont="1" applyFill="1" applyBorder="1" applyAlignment="1">
      <alignment/>
    </xf>
    <xf numFmtId="0" fontId="54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4" fillId="36" borderId="1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55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52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0" fontId="54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right"/>
    </xf>
    <xf numFmtId="1" fontId="3" fillId="2" borderId="17" xfId="0" applyNumberFormat="1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>
      <alignment horizontal="right"/>
    </xf>
    <xf numFmtId="2" fontId="3" fillId="2" borderId="27" xfId="0" applyNumberFormat="1" applyFont="1" applyFill="1" applyBorder="1" applyAlignment="1">
      <alignment horizontal="right"/>
    </xf>
    <xf numFmtId="1" fontId="3" fillId="2" borderId="27" xfId="0" applyNumberFormat="1" applyFont="1" applyFill="1" applyBorder="1" applyAlignment="1">
      <alignment horizontal="right"/>
    </xf>
    <xf numFmtId="2" fontId="3" fillId="2" borderId="26" xfId="0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54" fillId="36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4" fillId="36" borderId="21" xfId="0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22" xfId="0" applyFont="1" applyFill="1" applyBorder="1" applyAlignment="1">
      <alignment vertical="center"/>
    </xf>
    <xf numFmtId="0" fontId="54" fillId="36" borderId="23" xfId="0" applyFont="1" applyFill="1" applyBorder="1" applyAlignment="1">
      <alignment vertical="center"/>
    </xf>
    <xf numFmtId="0" fontId="54" fillId="36" borderId="24" xfId="0" applyFont="1" applyFill="1" applyBorder="1" applyAlignment="1">
      <alignment vertical="center"/>
    </xf>
    <xf numFmtId="0" fontId="54" fillId="36" borderId="25" xfId="0" applyFont="1" applyFill="1" applyBorder="1" applyAlignment="1">
      <alignment vertical="center"/>
    </xf>
    <xf numFmtId="0" fontId="4" fillId="2" borderId="10" xfId="0" applyFont="1" applyFill="1" applyBorder="1" applyAlignment="1">
      <alignment/>
    </xf>
    <xf numFmtId="0" fontId="54" fillId="36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4" fillId="2" borderId="10" xfId="0" applyFont="1" applyFill="1" applyBorder="1" applyAlignment="1">
      <alignment horizontal="center"/>
    </xf>
    <xf numFmtId="0" fontId="54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2" fillId="2" borderId="15" xfId="0" applyFont="1" applyFill="1" applyBorder="1" applyAlignment="1">
      <alignment horizontal="center"/>
    </xf>
    <xf numFmtId="0" fontId="52" fillId="2" borderId="16" xfId="0" applyFont="1" applyFill="1" applyBorder="1" applyAlignment="1">
      <alignment horizontal="center"/>
    </xf>
    <xf numFmtId="0" fontId="52" fillId="2" borderId="14" xfId="0" applyFont="1" applyFill="1" applyBorder="1" applyAlignment="1">
      <alignment horizontal="center"/>
    </xf>
    <xf numFmtId="9" fontId="3" fillId="2" borderId="26" xfId="0" applyNumberFormat="1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116</xdr:row>
      <xdr:rowOff>28575</xdr:rowOff>
    </xdr:from>
    <xdr:to>
      <xdr:col>8</xdr:col>
      <xdr:colOff>390525</xdr:colOff>
      <xdr:row>119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12788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7</xdr:col>
      <xdr:colOff>285750</xdr:colOff>
      <xdr:row>34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577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95250</xdr:rowOff>
    </xdr:from>
    <xdr:to>
      <xdr:col>6</xdr:col>
      <xdr:colOff>333375</xdr:colOff>
      <xdr:row>44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905625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133350</xdr:rowOff>
    </xdr:from>
    <xdr:to>
      <xdr:col>7</xdr:col>
      <xdr:colOff>152400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296025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7</xdr:col>
      <xdr:colOff>180975</xdr:colOff>
      <xdr:row>74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824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114300</xdr:rowOff>
    </xdr:from>
    <xdr:to>
      <xdr:col>7</xdr:col>
      <xdr:colOff>466725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198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123825</xdr:rowOff>
    </xdr:from>
    <xdr:to>
      <xdr:col>9</xdr:col>
      <xdr:colOff>190500</xdr:colOff>
      <xdr:row>28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210050"/>
          <a:ext cx="2286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8</xdr:col>
      <xdr:colOff>361950</xdr:colOff>
      <xdr:row>36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864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152400</xdr:rowOff>
    </xdr:from>
    <xdr:to>
      <xdr:col>8</xdr:col>
      <xdr:colOff>447675</xdr:colOff>
      <xdr:row>54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601075"/>
          <a:ext cx="2286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56</xdr:row>
      <xdr:rowOff>123825</xdr:rowOff>
    </xdr:from>
    <xdr:to>
      <xdr:col>7</xdr:col>
      <xdr:colOff>152400</xdr:colOff>
      <xdr:row>59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82125"/>
          <a:ext cx="2295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fonsah.CAESAD\Documents\Fruit%20Budget\2017\2017%20Pecans%20Budget%200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  <sheetDataSet>
      <sheetData sheetId="6">
        <row r="16">
          <cell r="I16">
            <v>29.975172305764413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183</v>
      </c>
      <c r="G3" s="2"/>
      <c r="H3" s="2"/>
      <c r="I3" s="2"/>
      <c r="J3" s="2"/>
      <c r="K3" s="2"/>
    </row>
    <row r="4" spans="2:12" ht="12.75">
      <c r="B4" s="1" t="s">
        <v>3</v>
      </c>
      <c r="E4" s="2" t="s">
        <v>193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240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206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81</v>
      </c>
    </row>
    <row r="12" spans="6:12" ht="15.75">
      <c r="F12" s="179" t="s">
        <v>184</v>
      </c>
      <c r="G12" s="180"/>
      <c r="H12" s="180"/>
      <c r="L12" s="1" t="s">
        <v>0</v>
      </c>
    </row>
    <row r="14" spans="6:12" ht="12.75">
      <c r="F14" s="1" t="s">
        <v>246</v>
      </c>
      <c r="L14" s="1" t="s">
        <v>0</v>
      </c>
    </row>
    <row r="15" spans="6:12" ht="12.75">
      <c r="F15" s="1" t="s">
        <v>6</v>
      </c>
      <c r="J15" s="6">
        <v>1</v>
      </c>
      <c r="L15" s="1" t="s">
        <v>2</v>
      </c>
    </row>
    <row r="16" spans="5:12" ht="12.75">
      <c r="E16" s="1" t="s">
        <v>156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103</v>
      </c>
      <c r="G18" s="7" t="s">
        <v>179</v>
      </c>
      <c r="H18" s="7" t="s">
        <v>171</v>
      </c>
      <c r="I18" s="8" t="s">
        <v>186</v>
      </c>
      <c r="J18" s="8" t="s">
        <v>250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79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77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157</v>
      </c>
      <c r="G23" s="7" t="s">
        <v>241</v>
      </c>
      <c r="H23" s="7" t="s">
        <v>198</v>
      </c>
      <c r="I23" s="8" t="s">
        <v>194</v>
      </c>
      <c r="J23" s="6" t="s">
        <v>66</v>
      </c>
      <c r="K23" s="11" t="s">
        <v>221</v>
      </c>
      <c r="L23" s="1" t="s">
        <v>0</v>
      </c>
    </row>
    <row r="24" ht="12.75">
      <c r="L24" s="1" t="s">
        <v>0</v>
      </c>
    </row>
    <row r="25" spans="3:10" ht="12.75">
      <c r="C25" s="1" t="s">
        <v>247</v>
      </c>
      <c r="J25" s="12" t="s">
        <v>0</v>
      </c>
    </row>
    <row r="26" spans="4:12" ht="12.75">
      <c r="D26" s="1" t="s">
        <v>166</v>
      </c>
      <c r="G26" s="7" t="s">
        <v>219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175</v>
      </c>
      <c r="G27" s="7" t="s">
        <v>163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187</v>
      </c>
      <c r="G28" s="7" t="s">
        <v>163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189</v>
      </c>
      <c r="G29" s="7" t="s">
        <v>163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256</v>
      </c>
      <c r="G30" s="7" t="s">
        <v>163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131</v>
      </c>
      <c r="G31" s="7" t="s">
        <v>163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130</v>
      </c>
      <c r="G32" s="7" t="s">
        <v>163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134</v>
      </c>
      <c r="G33" s="7" t="s">
        <v>100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141</v>
      </c>
      <c r="G34" s="7" t="s">
        <v>100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146</v>
      </c>
      <c r="G35" s="7" t="s">
        <v>100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159</v>
      </c>
      <c r="G36" s="7" t="s">
        <v>143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56</v>
      </c>
      <c r="G37" s="7" t="s">
        <v>135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61</v>
      </c>
      <c r="G38" s="7" t="s">
        <v>91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162</v>
      </c>
      <c r="G39" s="7" t="s">
        <v>91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155</v>
      </c>
      <c r="G40" s="7" t="s">
        <v>91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161</v>
      </c>
      <c r="G41" s="7" t="s">
        <v>91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152</v>
      </c>
      <c r="G42" s="7" t="s">
        <v>65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192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139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132</v>
      </c>
      <c r="G46" s="7" t="s">
        <v>100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168</v>
      </c>
      <c r="G47" s="7" t="s">
        <v>91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159</v>
      </c>
      <c r="G48" s="7" t="s">
        <v>143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110</v>
      </c>
      <c r="G49" s="7" t="s">
        <v>163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231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236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126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237</v>
      </c>
      <c r="G55" s="7" t="s">
        <v>143</v>
      </c>
      <c r="H55" s="8">
        <v>1</v>
      </c>
      <c r="I55" s="8">
        <f>FxdCost!I26</f>
        <v>527.75052</v>
      </c>
      <c r="J55" s="8">
        <f>H55*I55</f>
        <v>527.75052</v>
      </c>
      <c r="K55" s="11">
        <f>J15*J55</f>
        <v>527.75052</v>
      </c>
      <c r="L55" s="14" t="s">
        <v>0</v>
      </c>
    </row>
    <row r="56" spans="4:12" ht="12.75">
      <c r="D56" s="1" t="s">
        <v>155</v>
      </c>
      <c r="G56" s="7" t="s">
        <v>91</v>
      </c>
      <c r="H56" s="8">
        <v>1</v>
      </c>
      <c r="I56" s="8">
        <f>Drip!$I32</f>
        <v>1192.6529666666668</v>
      </c>
      <c r="J56" s="8">
        <f>H56*I56</f>
        <v>1192.6529666666668</v>
      </c>
      <c r="K56" s="11">
        <f>J15*J56</f>
        <v>1192.6529666666668</v>
      </c>
      <c r="L56" s="7"/>
    </row>
    <row r="57" spans="4:12" ht="12.75">
      <c r="D57" s="1" t="s">
        <v>201</v>
      </c>
      <c r="G57" s="7" t="s">
        <v>91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160</v>
      </c>
      <c r="G58" s="7" t="s">
        <v>91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182</v>
      </c>
      <c r="G59" s="7" t="s">
        <v>65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228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224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112</v>
      </c>
      <c r="H64" s="7"/>
      <c r="I64" s="7"/>
      <c r="J64" s="7"/>
      <c r="K64" s="7"/>
      <c r="L64" s="7"/>
    </row>
    <row r="65" spans="4:12" ht="12.75">
      <c r="D65" s="1" t="s">
        <v>191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138</v>
      </c>
      <c r="H66" s="7"/>
      <c r="I66" s="7"/>
      <c r="J66" s="8">
        <f>J51/H20</f>
        <v>0.2872928571428572</v>
      </c>
      <c r="K66" s="7"/>
      <c r="L66" s="7"/>
      <c r="M66" s="1" t="s">
        <v>74</v>
      </c>
      <c r="N66" s="1" t="s">
        <v>74</v>
      </c>
      <c r="R66" s="1" t="s">
        <v>74</v>
      </c>
    </row>
    <row r="67" spans="4:18" ht="12.75">
      <c r="D67" s="1" t="s">
        <v>128</v>
      </c>
      <c r="E67" s="1" t="s">
        <v>60</v>
      </c>
      <c r="H67" s="7"/>
      <c r="I67" s="7"/>
      <c r="J67" s="8">
        <f>J60/H20</f>
        <v>1.352664028937729</v>
      </c>
      <c r="K67" s="7"/>
      <c r="L67" s="7"/>
      <c r="M67" s="1" t="s">
        <v>74</v>
      </c>
      <c r="N67" s="1" t="s">
        <v>7</v>
      </c>
      <c r="R67" s="1" t="s">
        <v>74</v>
      </c>
    </row>
    <row r="68" spans="3:18" ht="12.75">
      <c r="C68" s="15" t="s">
        <v>225</v>
      </c>
      <c r="H68" s="7"/>
      <c r="I68" s="7"/>
      <c r="J68" s="10">
        <f>J62/H20</f>
        <v>2.4653195234432235</v>
      </c>
      <c r="K68" s="7"/>
      <c r="L68" s="7"/>
      <c r="M68" s="1" t="s">
        <v>74</v>
      </c>
      <c r="N68" s="1" t="s">
        <v>1</v>
      </c>
      <c r="R68" s="1" t="s">
        <v>74</v>
      </c>
    </row>
    <row r="69" spans="8:18" ht="12.75">
      <c r="H69" s="7"/>
      <c r="I69" s="7"/>
      <c r="J69" s="7"/>
      <c r="K69" s="7"/>
      <c r="L69" s="7"/>
      <c r="M69" s="1" t="s">
        <v>74</v>
      </c>
      <c r="N69" s="12">
        <f>J15</f>
        <v>1</v>
      </c>
      <c r="O69" s="1" t="s">
        <v>10</v>
      </c>
      <c r="R69" s="1" t="s">
        <v>74</v>
      </c>
    </row>
    <row r="70" spans="6:18" ht="12.75">
      <c r="F70" s="1" t="s">
        <v>69</v>
      </c>
      <c r="H70" s="7"/>
      <c r="I70" s="7"/>
      <c r="J70" s="7"/>
      <c r="K70" s="7"/>
      <c r="L70" s="7"/>
      <c r="M70" s="1" t="s">
        <v>74</v>
      </c>
      <c r="N70" s="12">
        <f>F20</f>
        <v>1800</v>
      </c>
      <c r="O70" s="1" t="s">
        <v>12</v>
      </c>
      <c r="P70" s="17">
        <f>F21</f>
        <v>1.9</v>
      </c>
      <c r="Q70" s="1" t="s">
        <v>11</v>
      </c>
      <c r="R70" s="1" t="s">
        <v>74</v>
      </c>
    </row>
    <row r="71" spans="8:18" ht="12.75">
      <c r="H71" s="7"/>
      <c r="I71" s="7"/>
      <c r="J71" s="7"/>
      <c r="K71" s="7"/>
      <c r="L71" s="7"/>
      <c r="M71" s="1" t="s">
        <v>74</v>
      </c>
      <c r="N71" s="12">
        <f>G20</f>
        <v>1600</v>
      </c>
      <c r="O71" s="1" t="s">
        <v>29</v>
      </c>
      <c r="P71" s="17">
        <f>G21</f>
        <v>1.7</v>
      </c>
      <c r="Q71" s="1" t="s">
        <v>28</v>
      </c>
      <c r="R71" s="1" t="s">
        <v>74</v>
      </c>
    </row>
    <row r="72" spans="3:16" ht="12.75">
      <c r="C72" s="1" t="s">
        <v>81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74</v>
      </c>
      <c r="N73" s="12">
        <f>H20</f>
        <v>1400</v>
      </c>
      <c r="O73" s="1" t="s">
        <v>22</v>
      </c>
      <c r="P73" s="17">
        <f>H21</f>
        <v>1.5</v>
      </c>
      <c r="Q73" s="1" t="s">
        <v>21</v>
      </c>
      <c r="R73" s="1" t="s">
        <v>74</v>
      </c>
    </row>
    <row r="74" spans="8:18" ht="12.75">
      <c r="H74" s="7"/>
      <c r="I74" s="7"/>
      <c r="J74" s="7"/>
      <c r="K74" s="7"/>
      <c r="L74" s="7"/>
      <c r="M74" s="1" t="s">
        <v>74</v>
      </c>
      <c r="N74" s="12">
        <f>I20</f>
        <v>1200</v>
      </c>
      <c r="O74" s="1" t="s">
        <v>32</v>
      </c>
      <c r="P74" s="17">
        <f>I21</f>
        <v>1.2</v>
      </c>
      <c r="Q74" s="1" t="s">
        <v>31</v>
      </c>
      <c r="R74" s="1" t="s">
        <v>74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74</v>
      </c>
      <c r="N75" s="12">
        <f>J20</f>
        <v>1000</v>
      </c>
      <c r="O75" s="1" t="s">
        <v>55</v>
      </c>
      <c r="P75" s="17">
        <f>J21</f>
        <v>1</v>
      </c>
      <c r="Q75" s="1" t="s">
        <v>54</v>
      </c>
      <c r="R75" s="1" t="s">
        <v>74</v>
      </c>
    </row>
    <row r="76" spans="8:18" ht="12.75">
      <c r="H76" s="7"/>
      <c r="I76" s="7"/>
      <c r="J76" s="7"/>
      <c r="K76" s="11" t="s">
        <v>0</v>
      </c>
      <c r="L76" s="7"/>
      <c r="M76" s="1" t="s">
        <v>74</v>
      </c>
      <c r="N76" s="17">
        <f>J66</f>
        <v>0.2872928571428572</v>
      </c>
      <c r="O76" s="1" t="s">
        <v>20</v>
      </c>
      <c r="R76" s="1" t="s">
        <v>74</v>
      </c>
    </row>
    <row r="77" spans="8:18" ht="12.75">
      <c r="H77" s="7"/>
      <c r="I77" s="7"/>
      <c r="J77" s="7"/>
      <c r="K77" s="7"/>
      <c r="L77" s="7"/>
      <c r="M77" s="1" t="s">
        <v>74</v>
      </c>
      <c r="N77" s="17">
        <f>J43+J60</f>
        <v>3049.237332820513</v>
      </c>
      <c r="O77" s="1" t="s">
        <v>45</v>
      </c>
      <c r="R77" s="1" t="s">
        <v>74</v>
      </c>
    </row>
    <row r="78" spans="8:18" ht="12.75">
      <c r="H78" s="7"/>
      <c r="I78" s="7"/>
      <c r="J78" s="7"/>
      <c r="K78" s="7"/>
      <c r="L78" s="7"/>
      <c r="M78" s="1" t="s">
        <v>74</v>
      </c>
      <c r="N78" s="1" t="s">
        <v>74</v>
      </c>
      <c r="R78" s="1" t="s">
        <v>74</v>
      </c>
    </row>
    <row r="79" spans="8:18" ht="12.75">
      <c r="H79" s="7"/>
      <c r="I79" s="7"/>
      <c r="J79" s="7"/>
      <c r="K79" s="7"/>
      <c r="L79" s="7"/>
      <c r="M79" s="1" t="s">
        <v>80</v>
      </c>
      <c r="N79" s="1" t="s">
        <v>1</v>
      </c>
      <c r="R79" s="1" t="s">
        <v>80</v>
      </c>
    </row>
    <row r="80" spans="8:18" ht="12.75">
      <c r="H80" s="7"/>
      <c r="I80" s="7"/>
      <c r="J80" s="7"/>
      <c r="K80" s="7"/>
      <c r="L80" s="7"/>
      <c r="M80" s="1" t="s">
        <v>80</v>
      </c>
      <c r="O80" s="1" t="s">
        <v>107</v>
      </c>
      <c r="R80" s="1" t="s">
        <v>80</v>
      </c>
    </row>
    <row r="81" spans="8:18" ht="12.75">
      <c r="H81" s="18"/>
      <c r="I81" s="7"/>
      <c r="J81" s="7"/>
      <c r="K81" s="7"/>
      <c r="L81" s="7"/>
      <c r="M81" s="1" t="s">
        <v>80</v>
      </c>
      <c r="N81" s="1" t="s">
        <v>1</v>
      </c>
      <c r="R81" s="1" t="s">
        <v>80</v>
      </c>
    </row>
    <row r="82" spans="4:18" ht="12.75">
      <c r="D82" s="181" t="s">
        <v>122</v>
      </c>
      <c r="E82" s="180"/>
      <c r="F82" s="180"/>
      <c r="G82" s="180"/>
      <c r="H82" s="180"/>
      <c r="I82" s="180"/>
      <c r="J82" s="180"/>
      <c r="K82" s="7"/>
      <c r="L82" s="7"/>
      <c r="M82" s="1" t="s">
        <v>80</v>
      </c>
      <c r="N82" s="12">
        <f>0.04*N70+0.25*N71+0.42*N73+0.25*N74+0.04*N75</f>
        <v>1400</v>
      </c>
      <c r="O82" s="1" t="s">
        <v>18</v>
      </c>
      <c r="P82" s="1">
        <f>0.04*P70+0.25*P71+0.42*P73+0.25*P74+0.04*P75</f>
        <v>1.471</v>
      </c>
      <c r="Q82" s="1" t="s">
        <v>17</v>
      </c>
      <c r="R82" s="1" t="s">
        <v>80</v>
      </c>
    </row>
    <row r="83" spans="8:18" ht="12.75">
      <c r="H83" s="19" t="s">
        <v>0</v>
      </c>
      <c r="I83" s="19"/>
      <c r="J83" s="7"/>
      <c r="K83" s="7"/>
      <c r="L83" s="7"/>
      <c r="M83" s="1" t="s">
        <v>80</v>
      </c>
      <c r="N83" s="1">
        <f>0.25*(N70-N82)+0.5*(N71-N82)</f>
        <v>200</v>
      </c>
      <c r="O83" s="1" t="s">
        <v>43</v>
      </c>
      <c r="P83" s="1">
        <f>0.25*(P70-P82)+0.5*(P71-P82)</f>
        <v>0.2217499999999999</v>
      </c>
      <c r="Q83" s="1" t="s">
        <v>35</v>
      </c>
      <c r="R83" s="1" t="s">
        <v>80</v>
      </c>
    </row>
    <row r="84" spans="8:18" ht="12.75">
      <c r="H84" s="7"/>
      <c r="I84" s="7"/>
      <c r="J84" s="7"/>
      <c r="K84" s="7"/>
      <c r="L84" s="7"/>
      <c r="M84" s="1" t="s">
        <v>80</v>
      </c>
      <c r="N84" s="1">
        <f>0.25*(N82-N75)+0.5*(N82-N74)</f>
        <v>200</v>
      </c>
      <c r="O84" s="1" t="s">
        <v>44</v>
      </c>
      <c r="P84" s="1">
        <f>0.25*(P82-P75)+0.5*(P82-P74)</f>
        <v>0.2532500000000001</v>
      </c>
      <c r="Q84" s="1" t="s">
        <v>36</v>
      </c>
      <c r="R84" s="1" t="s">
        <v>80</v>
      </c>
    </row>
    <row r="85" spans="4:18" ht="12.75">
      <c r="D85" s="1" t="s">
        <v>0</v>
      </c>
      <c r="E85" s="1" t="s">
        <v>121</v>
      </c>
      <c r="G85" s="1" t="s">
        <v>248</v>
      </c>
      <c r="H85" s="7"/>
      <c r="I85" s="8" t="s">
        <v>121</v>
      </c>
      <c r="J85" s="8" t="s">
        <v>0</v>
      </c>
      <c r="K85" s="11" t="s">
        <v>221</v>
      </c>
      <c r="L85" s="7"/>
      <c r="M85" s="1" t="s">
        <v>80</v>
      </c>
      <c r="N85" s="12">
        <f>N83^2</f>
        <v>40000</v>
      </c>
      <c r="O85" s="1" t="s">
        <v>52</v>
      </c>
      <c r="P85" s="1">
        <f>P83^2</f>
        <v>0.049173062499999955</v>
      </c>
      <c r="Q85" s="1" t="s">
        <v>46</v>
      </c>
      <c r="R85" s="1" t="s">
        <v>80</v>
      </c>
    </row>
    <row r="86" spans="4:18" ht="12.75">
      <c r="D86" s="1" t="s">
        <v>93</v>
      </c>
      <c r="E86" s="1" t="s">
        <v>253</v>
      </c>
      <c r="G86" s="1" t="s">
        <v>170</v>
      </c>
      <c r="H86" s="7"/>
      <c r="I86" s="8" t="s">
        <v>195</v>
      </c>
      <c r="J86" s="8" t="s">
        <v>0</v>
      </c>
      <c r="K86" s="11" t="s">
        <v>205</v>
      </c>
      <c r="L86" s="7" t="s">
        <v>2</v>
      </c>
      <c r="M86" s="1" t="s">
        <v>80</v>
      </c>
      <c r="N86" s="12">
        <f>N84^2</f>
        <v>40000</v>
      </c>
      <c r="O86" s="1" t="s">
        <v>53</v>
      </c>
      <c r="P86" s="1">
        <f>P84^2</f>
        <v>0.06413556250000005</v>
      </c>
      <c r="Q86" s="1" t="s">
        <v>47</v>
      </c>
      <c r="R86" s="1" t="s">
        <v>80</v>
      </c>
    </row>
    <row r="87" spans="8:18" ht="12.75">
      <c r="H87" s="7"/>
      <c r="I87" s="7"/>
      <c r="J87" s="7"/>
      <c r="K87" s="7"/>
      <c r="L87" s="7"/>
      <c r="M87" s="1" t="s">
        <v>80</v>
      </c>
      <c r="N87" s="1" t="s">
        <v>1</v>
      </c>
      <c r="R87" s="1" t="s">
        <v>80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80</v>
      </c>
      <c r="N88" s="12">
        <f>(N82^2*P85)+(P82-N76)^2*N85</f>
        <v>152425.70650204073</v>
      </c>
      <c r="O88" s="12" t="s">
        <v>48</v>
      </c>
      <c r="P88" s="12">
        <f>(N82^2*P86)+(P82-N76)^2*N86</f>
        <v>181752.2065020409</v>
      </c>
      <c r="Q88" s="1" t="s">
        <v>51</v>
      </c>
      <c r="R88" s="1" t="s">
        <v>80</v>
      </c>
    </row>
    <row r="89" spans="8:18" ht="12.75">
      <c r="H89" s="7"/>
      <c r="I89" s="7"/>
      <c r="J89" s="7"/>
      <c r="K89" s="7"/>
      <c r="L89" s="7"/>
      <c r="M89" s="1" t="s">
        <v>80</v>
      </c>
      <c r="N89" s="12">
        <f>(N82^2*P85)+(P82-N76)^2*N86</f>
        <v>152425.70650204073</v>
      </c>
      <c r="O89" s="12" t="s">
        <v>49</v>
      </c>
      <c r="P89" s="12">
        <f>N82^2*P86+(P82-N76)^2*N85</f>
        <v>181752.2065020409</v>
      </c>
      <c r="Q89" s="1" t="s">
        <v>50</v>
      </c>
      <c r="R89" s="1" t="s">
        <v>80</v>
      </c>
    </row>
    <row r="90" spans="8:19" ht="12.75">
      <c r="H90" s="7"/>
      <c r="I90" s="7"/>
      <c r="J90" s="7"/>
      <c r="K90" s="7"/>
      <c r="L90" s="7"/>
      <c r="M90" s="1" t="s">
        <v>80</v>
      </c>
      <c r="N90" s="12">
        <f>SQRT(N88)</f>
        <v>390.4173491304411</v>
      </c>
      <c r="O90" s="12" t="s">
        <v>37</v>
      </c>
      <c r="P90" s="12">
        <f>SQRT(P88)</f>
        <v>426.32406277624176</v>
      </c>
      <c r="Q90" s="1" t="s">
        <v>40</v>
      </c>
      <c r="R90" s="1" t="s">
        <v>80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80</v>
      </c>
      <c r="N91" s="12">
        <f>SQRT(N89)</f>
        <v>390.4173491304411</v>
      </c>
      <c r="O91" s="12" t="s">
        <v>38</v>
      </c>
      <c r="P91" s="12">
        <f>SQRT(P89)</f>
        <v>426.32406277624176</v>
      </c>
      <c r="Q91" s="1" t="s">
        <v>39</v>
      </c>
      <c r="R91" s="1" t="s">
        <v>80</v>
      </c>
    </row>
    <row r="92" spans="3:18" ht="12.75">
      <c r="C92" s="1" t="s">
        <v>4</v>
      </c>
      <c r="H92" s="7"/>
      <c r="I92" s="7"/>
      <c r="J92" s="7"/>
      <c r="K92" s="7"/>
      <c r="L92" s="7"/>
      <c r="M92" s="1" t="s">
        <v>80</v>
      </c>
      <c r="N92" s="12">
        <f>0.66*N90+0.17*N91+0.17*P91</f>
        <v>396.5214904502272</v>
      </c>
      <c r="O92" s="12" t="s">
        <v>41</v>
      </c>
      <c r="P92" s="12">
        <f>0.66*P90+0.17*N91+0.17*P91</f>
        <v>420.21992145645567</v>
      </c>
      <c r="Q92" s="1" t="s">
        <v>42</v>
      </c>
      <c r="R92" s="1" t="s">
        <v>80</v>
      </c>
    </row>
    <row r="93" spans="8:18" ht="12.75">
      <c r="H93" s="7"/>
      <c r="I93" s="7"/>
      <c r="J93" s="7"/>
      <c r="K93" s="7"/>
      <c r="L93" s="7"/>
      <c r="M93" s="1" t="s">
        <v>80</v>
      </c>
      <c r="N93" s="1" t="s">
        <v>1</v>
      </c>
      <c r="R93" s="1" t="s">
        <v>80</v>
      </c>
    </row>
    <row r="94" spans="3:18" ht="12.75">
      <c r="C94" s="1" t="s">
        <v>173</v>
      </c>
      <c r="H94" s="7"/>
      <c r="I94" s="7"/>
      <c r="J94" s="7"/>
      <c r="K94" s="7"/>
      <c r="L94" s="7"/>
      <c r="M94" s="1" t="s">
        <v>80</v>
      </c>
      <c r="N94" s="1" t="s">
        <v>106</v>
      </c>
      <c r="R94" s="1" t="s">
        <v>80</v>
      </c>
    </row>
    <row r="95" spans="3:18" ht="12.75">
      <c r="C95" s="1" t="s">
        <v>215</v>
      </c>
      <c r="H95" s="7"/>
      <c r="I95" s="7"/>
      <c r="J95" s="7"/>
      <c r="K95" s="7"/>
      <c r="L95" s="7"/>
      <c r="M95" s="1" t="s">
        <v>80</v>
      </c>
      <c r="N95" s="1" t="s">
        <v>1</v>
      </c>
      <c r="R95" s="1" t="s">
        <v>80</v>
      </c>
    </row>
    <row r="96" spans="3:18" ht="12.75">
      <c r="C96" s="1" t="s">
        <v>214</v>
      </c>
      <c r="H96" s="7"/>
      <c r="I96" s="7"/>
      <c r="J96" s="7"/>
      <c r="K96" s="7"/>
      <c r="L96" s="7"/>
      <c r="M96" s="1" t="s">
        <v>80</v>
      </c>
      <c r="N96" s="12">
        <f>N90*N69</f>
        <v>390.4173491304411</v>
      </c>
      <c r="O96" s="1" t="s">
        <v>37</v>
      </c>
      <c r="P96" s="12">
        <f>P90*N69</f>
        <v>426.32406277624176</v>
      </c>
      <c r="Q96" s="1" t="s">
        <v>40</v>
      </c>
      <c r="R96" s="1" t="s">
        <v>80</v>
      </c>
    </row>
    <row r="97" spans="8:18" ht="12.75">
      <c r="H97" s="7"/>
      <c r="I97" s="7"/>
      <c r="J97" s="7"/>
      <c r="K97" s="7"/>
      <c r="L97" s="7" t="s">
        <v>0</v>
      </c>
      <c r="M97" s="1" t="s">
        <v>80</v>
      </c>
      <c r="N97" s="12">
        <f>N91*N69</f>
        <v>390.4173491304411</v>
      </c>
      <c r="O97" s="1" t="s">
        <v>38</v>
      </c>
      <c r="P97" s="12">
        <f>P91*N69</f>
        <v>426.32406277624176</v>
      </c>
      <c r="Q97" s="1" t="s">
        <v>39</v>
      </c>
      <c r="R97" s="1" t="s">
        <v>80</v>
      </c>
    </row>
    <row r="98" spans="6:18" ht="12.75">
      <c r="F98" s="1" t="s">
        <v>30</v>
      </c>
      <c r="H98" s="19" t="s">
        <v>19</v>
      </c>
      <c r="I98" s="7"/>
      <c r="J98" s="8" t="s">
        <v>33</v>
      </c>
      <c r="K98" s="7"/>
      <c r="L98" s="7"/>
      <c r="M98" s="1" t="s">
        <v>80</v>
      </c>
      <c r="N98" s="12">
        <f>N69*N92</f>
        <v>396.5214904502272</v>
      </c>
      <c r="O98" s="1" t="s">
        <v>41</v>
      </c>
      <c r="P98" s="12">
        <f>N69*P92</f>
        <v>420.21992145645567</v>
      </c>
      <c r="Q98" s="1" t="s">
        <v>42</v>
      </c>
      <c r="R98" s="1" t="s">
        <v>80</v>
      </c>
    </row>
    <row r="99" spans="5:18" ht="12.75">
      <c r="E99" s="7"/>
      <c r="K99" s="7"/>
      <c r="L99" s="7"/>
      <c r="M99" s="1" t="s">
        <v>80</v>
      </c>
      <c r="N99" s="17">
        <f>P73</f>
        <v>1.5</v>
      </c>
      <c r="O99" s="1" t="s">
        <v>24</v>
      </c>
      <c r="P99" s="1">
        <f>N73</f>
        <v>1400</v>
      </c>
      <c r="Q99" s="1" t="s">
        <v>27</v>
      </c>
      <c r="R99" s="1" t="s">
        <v>80</v>
      </c>
    </row>
    <row r="100" spans="3:18" ht="12.75">
      <c r="C100" s="1" t="s">
        <v>78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80</v>
      </c>
      <c r="N100" s="12">
        <f>J15*N82*P82</f>
        <v>2059.4</v>
      </c>
      <c r="O100" s="1" t="s">
        <v>16</v>
      </c>
      <c r="P100" s="12">
        <f>(N77+N73*N76)*N69</f>
        <v>3451.447332820513</v>
      </c>
      <c r="Q100" s="1" t="s">
        <v>25</v>
      </c>
      <c r="R100" s="1" t="s">
        <v>80</v>
      </c>
    </row>
    <row r="101" spans="3:18" ht="12.75">
      <c r="C101" s="1" t="s">
        <v>108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80</v>
      </c>
      <c r="N101" s="12">
        <f>N100+(0.7857*(P98-N98))</f>
        <v>2078.019857241594</v>
      </c>
      <c r="O101" s="1" t="s">
        <v>26</v>
      </c>
      <c r="P101" s="12">
        <f>N100-P100</f>
        <v>-1392.047332820513</v>
      </c>
      <c r="Q101" s="1" t="s">
        <v>14</v>
      </c>
      <c r="R101" s="1" t="s">
        <v>80</v>
      </c>
    </row>
    <row r="102" spans="3:18" ht="12.75">
      <c r="C102" s="1" t="s">
        <v>108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80</v>
      </c>
      <c r="N102" s="12">
        <f>N101-P100</f>
        <v>-1373.4274755789193</v>
      </c>
      <c r="O102" s="1" t="s">
        <v>23</v>
      </c>
      <c r="P102" s="1">
        <f>P101-N102</f>
        <v>-18.619857241593763</v>
      </c>
      <c r="Q102" s="1" t="s">
        <v>15</v>
      </c>
      <c r="R102" s="1" t="s">
        <v>80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80</v>
      </c>
      <c r="N103" s="1" t="s">
        <v>1</v>
      </c>
      <c r="R103" s="1" t="s">
        <v>80</v>
      </c>
    </row>
    <row r="104" spans="3:12" ht="12.75">
      <c r="C104" s="15" t="s">
        <v>109</v>
      </c>
      <c r="E104" s="7"/>
      <c r="F104" s="24">
        <f>IF(U109&lt;1,IF(T109,Y109,1-Y109),IF(T109,Y110,1-Y110))</f>
        <v>0.00620969291581936</v>
      </c>
      <c r="G104" s="7" t="s">
        <v>5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81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1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0.28125" style="1" customWidth="1"/>
    <col min="6" max="6" width="10.7109375" style="1" customWidth="1"/>
    <col min="7" max="7" width="11.140625" style="1" customWidth="1"/>
    <col min="8" max="8" width="10.28125" style="1" customWidth="1"/>
    <col min="9" max="16384" width="9.140625" style="1" customWidth="1"/>
  </cols>
  <sheetData>
    <row r="2" spans="2:4" ht="12.75">
      <c r="B2" s="76" t="s">
        <v>307</v>
      </c>
      <c r="D2" s="47"/>
    </row>
    <row r="4" spans="2:8" ht="17.25" customHeight="1">
      <c r="B4" s="150" t="s">
        <v>319</v>
      </c>
      <c r="C4" s="151"/>
      <c r="D4" s="151"/>
      <c r="E4" s="151"/>
      <c r="F4" s="151"/>
      <c r="G4" s="151"/>
      <c r="H4" s="152"/>
    </row>
    <row r="6" spans="3:7" ht="12.75">
      <c r="C6" s="202"/>
      <c r="D6" s="203"/>
      <c r="E6" s="203"/>
      <c r="F6" s="203"/>
      <c r="G6" s="204"/>
    </row>
    <row r="7" spans="3:7" ht="15.75">
      <c r="C7" s="205"/>
      <c r="D7" s="206"/>
      <c r="E7" s="206"/>
      <c r="F7" s="206"/>
      <c r="G7" s="207"/>
    </row>
    <row r="9" spans="3:7" ht="12.75">
      <c r="C9" s="202"/>
      <c r="D9" s="203"/>
      <c r="E9" s="203"/>
      <c r="F9" s="203"/>
      <c r="G9" s="204"/>
    </row>
    <row r="10" spans="3:7" ht="12.75">
      <c r="C10" s="181"/>
      <c r="D10" s="180"/>
      <c r="E10" s="180"/>
      <c r="F10" s="180"/>
      <c r="G10" s="180"/>
    </row>
    <row r="12" spans="2:6" ht="12.75">
      <c r="B12" s="1" t="s">
        <v>102</v>
      </c>
      <c r="E12" s="9">
        <v>5</v>
      </c>
      <c r="F12" s="8" t="s">
        <v>93</v>
      </c>
    </row>
    <row r="13" spans="2:6" ht="12.75">
      <c r="B13" s="1" t="s">
        <v>277</v>
      </c>
      <c r="C13" s="1">
        <v>40</v>
      </c>
      <c r="D13" s="1" t="s">
        <v>105</v>
      </c>
      <c r="E13" s="7">
        <v>45</v>
      </c>
      <c r="F13" s="7"/>
    </row>
    <row r="14" spans="2:6" ht="12.75">
      <c r="B14" s="1" t="s">
        <v>151</v>
      </c>
      <c r="E14" s="7"/>
      <c r="F14" s="34">
        <v>0.065</v>
      </c>
    </row>
    <row r="15" spans="2:6" ht="12.75">
      <c r="B15" s="1" t="s">
        <v>213</v>
      </c>
      <c r="E15" s="7"/>
      <c r="F15" s="7">
        <v>0.015</v>
      </c>
    </row>
    <row r="16" spans="2:6" ht="12.75">
      <c r="B16" s="1" t="s">
        <v>115</v>
      </c>
      <c r="E16" s="7"/>
      <c r="F16" s="6">
        <v>600</v>
      </c>
    </row>
    <row r="18" ht="12.75">
      <c r="B18" s="15" t="s">
        <v>154</v>
      </c>
    </row>
    <row r="19" spans="4:8" ht="12.75">
      <c r="D19" s="19" t="s">
        <v>174</v>
      </c>
      <c r="E19" s="19" t="s">
        <v>255</v>
      </c>
      <c r="F19" s="19" t="s">
        <v>114</v>
      </c>
      <c r="G19" s="10" t="s">
        <v>150</v>
      </c>
      <c r="H19" s="10" t="s">
        <v>211</v>
      </c>
    </row>
    <row r="21" spans="2:8" ht="12.75">
      <c r="B21" s="40" t="s">
        <v>278</v>
      </c>
      <c r="D21" s="6">
        <f>960*E12</f>
        <v>4800</v>
      </c>
      <c r="E21" s="6">
        <v>20</v>
      </c>
      <c r="F21" s="6">
        <f aca="true" t="shared" si="0" ref="F21:F31">D21/E21</f>
        <v>240</v>
      </c>
      <c r="G21" s="6">
        <f>(D21/2)*F14</f>
        <v>156</v>
      </c>
      <c r="H21" s="6">
        <f>(D21/2)*F15</f>
        <v>36</v>
      </c>
    </row>
    <row r="22" spans="2:8" ht="12.75">
      <c r="B22" s="40" t="s">
        <v>288</v>
      </c>
      <c r="D22" s="6">
        <v>1400</v>
      </c>
      <c r="E22" s="6">
        <v>10</v>
      </c>
      <c r="F22" s="6">
        <f t="shared" si="0"/>
        <v>140</v>
      </c>
      <c r="G22" s="6">
        <f>(D22/2)*F14</f>
        <v>45.5</v>
      </c>
      <c r="H22" s="6">
        <f>(D22/2)*F15</f>
        <v>10.5</v>
      </c>
    </row>
    <row r="23" spans="2:8" ht="12.75">
      <c r="B23" s="40" t="s">
        <v>279</v>
      </c>
      <c r="D23" s="6">
        <v>50000</v>
      </c>
      <c r="E23" s="6">
        <v>25</v>
      </c>
      <c r="F23" s="6">
        <f t="shared" si="0"/>
        <v>2000</v>
      </c>
      <c r="G23" s="6">
        <f>(D23/2)*F14</f>
        <v>1625</v>
      </c>
      <c r="H23" s="6">
        <f>(D23/2)*F15</f>
        <v>375</v>
      </c>
    </row>
    <row r="24" spans="2:8" ht="12.75">
      <c r="B24" s="1" t="s">
        <v>287</v>
      </c>
      <c r="D24" s="6">
        <v>16000</v>
      </c>
      <c r="E24" s="6">
        <v>15</v>
      </c>
      <c r="F24" s="6">
        <f t="shared" si="0"/>
        <v>1066.6666666666667</v>
      </c>
      <c r="G24" s="6">
        <f>(D24/2)*F14</f>
        <v>520</v>
      </c>
      <c r="H24" s="6">
        <f>(D24/2)*F$14</f>
        <v>520</v>
      </c>
    </row>
    <row r="25" spans="2:8" ht="12.75">
      <c r="B25" s="1" t="s">
        <v>280</v>
      </c>
      <c r="D25" s="6">
        <v>1000</v>
      </c>
      <c r="E25" s="6">
        <v>10</v>
      </c>
      <c r="F25" s="6">
        <f t="shared" si="0"/>
        <v>100</v>
      </c>
      <c r="G25" s="6">
        <f>(D26/2)*F14</f>
        <v>65</v>
      </c>
      <c r="H25" s="6">
        <f>(D25/2)*F15</f>
        <v>7.5</v>
      </c>
    </row>
    <row r="26" spans="2:8" ht="12.75">
      <c r="B26" s="1" t="s">
        <v>281</v>
      </c>
      <c r="D26" s="6">
        <v>2000</v>
      </c>
      <c r="E26" s="6">
        <v>5</v>
      </c>
      <c r="F26" s="6">
        <f t="shared" si="0"/>
        <v>400</v>
      </c>
      <c r="G26" s="6">
        <f>(D26/2)*F14</f>
        <v>65</v>
      </c>
      <c r="H26" s="6">
        <f>(D26/2)*F$14</f>
        <v>65</v>
      </c>
    </row>
    <row r="27" spans="2:8" ht="12.75">
      <c r="B27" s="1" t="s">
        <v>282</v>
      </c>
      <c r="D27" s="6">
        <v>2000</v>
      </c>
      <c r="E27" s="6">
        <v>5</v>
      </c>
      <c r="F27" s="6">
        <f t="shared" si="0"/>
        <v>400</v>
      </c>
      <c r="G27" s="6">
        <f>(D27/2)*F14</f>
        <v>65</v>
      </c>
      <c r="H27" s="6">
        <f>(D27/2)*F$14</f>
        <v>65</v>
      </c>
    </row>
    <row r="28" spans="2:8" ht="12.75">
      <c r="B28" s="1" t="s">
        <v>283</v>
      </c>
      <c r="D28" s="6">
        <v>500</v>
      </c>
      <c r="E28" s="6">
        <v>5</v>
      </c>
      <c r="F28" s="6">
        <f t="shared" si="0"/>
        <v>100</v>
      </c>
      <c r="G28" s="6">
        <f>(D28/2)*F14</f>
        <v>16.25</v>
      </c>
      <c r="H28" s="6">
        <f>(D28/2)*F$14</f>
        <v>16.25</v>
      </c>
    </row>
    <row r="29" spans="2:8" ht="12.75">
      <c r="B29" s="1" t="s">
        <v>284</v>
      </c>
      <c r="D29" s="6">
        <v>1500</v>
      </c>
      <c r="E29" s="6">
        <v>20</v>
      </c>
      <c r="F29" s="6">
        <f t="shared" si="0"/>
        <v>75</v>
      </c>
      <c r="G29" s="6">
        <f>(D29/2)*F14</f>
        <v>48.75</v>
      </c>
      <c r="H29" s="6">
        <f>(D29/2)*F15</f>
        <v>11.25</v>
      </c>
    </row>
    <row r="30" spans="2:8" ht="12.75">
      <c r="B30" s="1" t="s">
        <v>285</v>
      </c>
      <c r="D30" s="6">
        <v>625</v>
      </c>
      <c r="E30" s="6">
        <v>5</v>
      </c>
      <c r="F30" s="6">
        <f t="shared" si="0"/>
        <v>125</v>
      </c>
      <c r="G30" s="6">
        <f>(D30/2)*F14</f>
        <v>20.3125</v>
      </c>
      <c r="H30" s="6">
        <f>(D30/2)*F15</f>
        <v>4.6875</v>
      </c>
    </row>
    <row r="31" spans="2:8" ht="12.75">
      <c r="B31" s="1" t="s">
        <v>286</v>
      </c>
      <c r="D31" s="6">
        <f>300*E12</f>
        <v>1500</v>
      </c>
      <c r="E31" s="6">
        <v>20</v>
      </c>
      <c r="F31" s="6">
        <f t="shared" si="0"/>
        <v>75</v>
      </c>
      <c r="G31" s="6">
        <f>(D31/2)*F14</f>
        <v>48.75</v>
      </c>
      <c r="H31" s="6">
        <f>(D31/2)*F15</f>
        <v>11.25</v>
      </c>
    </row>
    <row r="32" spans="2:8" ht="13.5" thickBot="1">
      <c r="B32" s="15" t="s">
        <v>233</v>
      </c>
      <c r="D32" s="71">
        <f>SUM(D21:D31)</f>
        <v>81325</v>
      </c>
      <c r="E32" s="74"/>
      <c r="F32" s="75">
        <f>SUM(F21:F31)</f>
        <v>4721.666666666667</v>
      </c>
      <c r="G32" s="75">
        <f>SUM(G21:G31)</f>
        <v>2675.5625</v>
      </c>
      <c r="H32" s="75">
        <f>SUM(H21:H31)</f>
        <v>1122.4375</v>
      </c>
    </row>
    <row r="33" spans="4:8" ht="13.5" thickTop="1">
      <c r="D33" s="61"/>
      <c r="E33" s="61"/>
      <c r="F33" s="61"/>
      <c r="G33" s="61"/>
      <c r="H33" s="61"/>
    </row>
    <row r="34" spans="2:8" ht="13.5" thickBot="1">
      <c r="B34" s="15" t="s">
        <v>223</v>
      </c>
      <c r="D34" s="7"/>
      <c r="E34" s="7"/>
      <c r="F34" s="7"/>
      <c r="G34" s="7"/>
      <c r="H34" s="71">
        <f>F32+G32+H32</f>
        <v>8519.666666666668</v>
      </c>
    </row>
    <row r="35" spans="4:8" ht="13.5" thickTop="1">
      <c r="D35" s="7"/>
      <c r="E35" s="7"/>
      <c r="F35" s="7"/>
      <c r="G35" s="7"/>
      <c r="H35" s="61"/>
    </row>
    <row r="36" spans="2:8" ht="13.5" thickBot="1">
      <c r="B36" s="15" t="s">
        <v>98</v>
      </c>
      <c r="D36" s="7"/>
      <c r="E36" s="7"/>
      <c r="F36" s="7"/>
      <c r="G36" s="7"/>
      <c r="H36" s="64">
        <f>H34/E12</f>
        <v>1703.9333333333336</v>
      </c>
    </row>
    <row r="37" spans="4:8" ht="13.5" thickTop="1">
      <c r="D37" s="7"/>
      <c r="E37" s="7"/>
      <c r="F37" s="7"/>
      <c r="G37" s="7"/>
      <c r="H37" s="61"/>
    </row>
    <row r="38" spans="4:8" ht="12.75">
      <c r="D38" s="7"/>
      <c r="E38" s="7"/>
      <c r="F38" s="7"/>
      <c r="G38" s="7"/>
      <c r="H38" s="7"/>
    </row>
    <row r="39" spans="2:8" ht="12.75">
      <c r="B39" s="15" t="s">
        <v>178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172</v>
      </c>
      <c r="D41" s="7"/>
      <c r="E41" s="7"/>
      <c r="F41" s="7">
        <v>50</v>
      </c>
      <c r="G41" s="7"/>
      <c r="H41" s="7"/>
    </row>
    <row r="42" spans="2:8" ht="12.75">
      <c r="B42" s="1" t="s">
        <v>203</v>
      </c>
      <c r="D42" s="7"/>
      <c r="E42" s="7"/>
      <c r="F42" s="6">
        <v>625</v>
      </c>
      <c r="G42" s="7"/>
      <c r="H42" s="7"/>
    </row>
    <row r="43" spans="2:8" ht="12.75">
      <c r="B43" s="1" t="s">
        <v>99</v>
      </c>
      <c r="D43" s="7"/>
      <c r="E43" s="7"/>
      <c r="F43" s="7">
        <v>100</v>
      </c>
      <c r="G43" s="7"/>
      <c r="H43" s="7"/>
    </row>
    <row r="44" spans="2:8" ht="12.75">
      <c r="B44" s="1" t="s">
        <v>118</v>
      </c>
      <c r="D44" s="7"/>
      <c r="E44" s="7"/>
      <c r="F44" s="7"/>
      <c r="G44" s="7"/>
      <c r="H44" s="7"/>
    </row>
    <row r="45" spans="2:8" ht="12.75">
      <c r="B45" s="1" t="s">
        <v>13</v>
      </c>
      <c r="D45" s="7"/>
      <c r="E45" s="7"/>
      <c r="F45" s="7">
        <v>1100</v>
      </c>
      <c r="G45" s="7"/>
      <c r="H45" s="7"/>
    </row>
    <row r="46" spans="2:8" ht="12.75">
      <c r="B46" s="1" t="s">
        <v>34</v>
      </c>
      <c r="D46" s="7"/>
      <c r="E46" s="7"/>
      <c r="F46" s="7">
        <v>0.12</v>
      </c>
      <c r="G46" s="7"/>
      <c r="H46" s="7"/>
    </row>
    <row r="47" spans="2:8" ht="12.75">
      <c r="B47" s="1" t="s">
        <v>96</v>
      </c>
      <c r="D47" s="7"/>
      <c r="E47" s="7"/>
      <c r="F47" s="6">
        <v>1245</v>
      </c>
      <c r="G47" s="7"/>
      <c r="H47" s="7"/>
    </row>
    <row r="48" spans="2:8" ht="12.75">
      <c r="B48" s="1" t="s">
        <v>97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177</v>
      </c>
      <c r="D49" s="7"/>
      <c r="E49" s="7"/>
      <c r="F49" s="7"/>
      <c r="G49" s="7"/>
      <c r="H49" s="64">
        <f>(F42+F47)/E12</f>
        <v>374</v>
      </c>
    </row>
    <row r="50" spans="4:8" ht="13.5" thickTop="1">
      <c r="D50" s="7"/>
      <c r="E50" s="7"/>
      <c r="F50" s="7"/>
      <c r="G50" s="7"/>
      <c r="H50" s="61"/>
    </row>
    <row r="51" spans="2:8" ht="13.5" thickBot="1">
      <c r="B51" s="15" t="s">
        <v>222</v>
      </c>
      <c r="D51" s="7"/>
      <c r="E51" s="7"/>
      <c r="F51" s="7"/>
      <c r="G51" s="7"/>
      <c r="H51" s="64">
        <f>H36+H49</f>
        <v>2077.9333333333334</v>
      </c>
    </row>
    <row r="52" spans="1:8" ht="13.5" thickTop="1">
      <c r="A52" s="1" t="s">
        <v>81</v>
      </c>
      <c r="D52" s="7"/>
      <c r="E52" s="7"/>
      <c r="F52" s="7"/>
      <c r="G52" s="7"/>
      <c r="H52" s="61"/>
    </row>
    <row r="53" spans="4:8" ht="12.75">
      <c r="D53" s="7"/>
      <c r="E53" s="7"/>
      <c r="F53" s="7"/>
      <c r="G53" s="7"/>
      <c r="H53" s="7"/>
    </row>
    <row r="54" spans="2:10" ht="12.75">
      <c r="B54" s="47"/>
      <c r="C54" s="47"/>
      <c r="D54" s="47"/>
      <c r="E54" s="47"/>
      <c r="F54" s="47"/>
      <c r="G54" s="47"/>
      <c r="H54" s="47"/>
      <c r="I54" s="47"/>
      <c r="J54" s="47"/>
    </row>
    <row r="55" spans="2:10" ht="12.75">
      <c r="B55" s="47"/>
      <c r="C55" s="47"/>
      <c r="D55" s="47"/>
      <c r="E55" s="47"/>
      <c r="F55" s="47"/>
      <c r="G55" s="47"/>
      <c r="H55" s="47"/>
      <c r="I55" s="47"/>
      <c r="J55" s="47"/>
    </row>
    <row r="56" spans="2:10" ht="12.75">
      <c r="B56" s="47"/>
      <c r="C56" s="47"/>
      <c r="D56" s="47"/>
      <c r="E56" s="47"/>
      <c r="F56" s="47"/>
      <c r="G56" s="47"/>
      <c r="H56" s="47"/>
      <c r="I56" s="47"/>
      <c r="J56" s="47"/>
    </row>
    <row r="57" spans="2:10" ht="12.75">
      <c r="B57" s="47"/>
      <c r="C57" s="47"/>
      <c r="D57" s="47"/>
      <c r="E57" s="47"/>
      <c r="F57" s="47"/>
      <c r="G57" s="47"/>
      <c r="H57" s="47"/>
      <c r="I57" s="47"/>
      <c r="J57" s="47"/>
    </row>
    <row r="58" spans="2:10" ht="12.75">
      <c r="B58" s="47"/>
      <c r="C58" s="47"/>
      <c r="D58" s="47"/>
      <c r="E58" s="47"/>
      <c r="F58" s="47"/>
      <c r="G58" s="47"/>
      <c r="H58" s="47"/>
      <c r="I58" s="47"/>
      <c r="J58" s="47"/>
    </row>
    <row r="59" spans="2:10" ht="12.75">
      <c r="B59" s="92"/>
      <c r="C59" s="92"/>
      <c r="D59" s="92"/>
      <c r="E59" s="92"/>
      <c r="F59" s="92"/>
      <c r="G59" s="92"/>
      <c r="H59" s="92"/>
      <c r="I59" s="92"/>
      <c r="J59" s="93"/>
    </row>
    <row r="60" spans="2:10" ht="12.75">
      <c r="B60" s="196"/>
      <c r="C60" s="196"/>
      <c r="D60" s="196"/>
      <c r="E60" s="196"/>
      <c r="F60" s="196"/>
      <c r="G60" s="196"/>
      <c r="H60" s="196"/>
      <c r="I60" s="196"/>
      <c r="J60" s="196"/>
    </row>
    <row r="61" spans="2:10" ht="12.75">
      <c r="B61" s="196"/>
      <c r="C61" s="196"/>
      <c r="D61" s="196"/>
      <c r="E61" s="196"/>
      <c r="F61" s="196"/>
      <c r="G61" s="196"/>
      <c r="H61" s="196"/>
      <c r="I61" s="196"/>
      <c r="J61" s="196"/>
    </row>
  </sheetData>
  <sheetProtection/>
  <mergeCells count="6">
    <mergeCell ref="B61:J61"/>
    <mergeCell ref="C6:G6"/>
    <mergeCell ref="C7:G7"/>
    <mergeCell ref="C9:G9"/>
    <mergeCell ref="C10:G10"/>
    <mergeCell ref="B60:J60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2:I37"/>
  <sheetViews>
    <sheetView zoomScalePageLayoutView="0" workbookViewId="0" topLeftCell="A1">
      <selection activeCell="U22" sqref="U22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89" t="s">
        <v>332</v>
      </c>
    </row>
    <row r="4" spans="4:6" ht="15.75">
      <c r="D4" s="179" t="s">
        <v>276</v>
      </c>
      <c r="E4" s="188"/>
      <c r="F4" s="188"/>
    </row>
    <row r="6" ht="12.75">
      <c r="C6" s="15" t="s">
        <v>216</v>
      </c>
    </row>
    <row r="8" spans="2:8" ht="12.75">
      <c r="B8" s="7"/>
      <c r="C8" s="7"/>
      <c r="D8" s="7"/>
      <c r="E8" s="7"/>
      <c r="F8" s="7" t="s">
        <v>204</v>
      </c>
      <c r="G8" s="7"/>
      <c r="H8" s="7" t="s">
        <v>204</v>
      </c>
    </row>
    <row r="9" spans="2:8" ht="12.75">
      <c r="B9" s="7" t="s">
        <v>251</v>
      </c>
      <c r="C9" s="7" t="s">
        <v>252</v>
      </c>
      <c r="D9" s="7" t="s">
        <v>194</v>
      </c>
      <c r="E9" s="7" t="s">
        <v>245</v>
      </c>
      <c r="F9" s="7" t="s">
        <v>245</v>
      </c>
      <c r="G9" s="7" t="s">
        <v>226</v>
      </c>
      <c r="H9" s="7" t="s">
        <v>226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4828.185558505639</v>
      </c>
      <c r="F11" s="8">
        <f aca="true" t="shared" si="0" ref="F11:F25">(C11*D11)-E11</f>
        <v>-4828.185558505639</v>
      </c>
      <c r="G11" s="8">
        <f>Yr1!H36</f>
        <v>7272.8168789481515</v>
      </c>
      <c r="H11" s="8">
        <f aca="true" t="shared" si="1" ref="H11:H25">(C11*D11)-G11</f>
        <v>-7272.8168789481515</v>
      </c>
    </row>
    <row r="12" spans="2:8" ht="12.75">
      <c r="B12" s="7">
        <v>2</v>
      </c>
      <c r="C12" s="7">
        <v>0</v>
      </c>
      <c r="D12" s="14">
        <v>0</v>
      </c>
      <c r="E12" s="8">
        <f>+Yr2!H24</f>
        <v>2768.6762000000003</v>
      </c>
      <c r="F12" s="8">
        <f t="shared" si="0"/>
        <v>-2768.6762000000003</v>
      </c>
      <c r="G12" s="8">
        <f>+Yr2!H34</f>
        <v>4904.381116666667</v>
      </c>
      <c r="H12" s="8">
        <f t="shared" si="1"/>
        <v>-4904.381116666667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3871.6967</v>
      </c>
      <c r="F13" s="8">
        <f t="shared" si="0"/>
        <v>-3871.6967</v>
      </c>
      <c r="G13" s="8">
        <f>+Yr3!H36</f>
        <v>6172.854691666667</v>
      </c>
      <c r="H13" s="8">
        <f t="shared" si="1"/>
        <v>-6172.854691666667</v>
      </c>
    </row>
    <row r="14" spans="2:8" ht="12.75">
      <c r="B14" s="7">
        <v>4</v>
      </c>
      <c r="C14" s="7">
        <v>8700</v>
      </c>
      <c r="D14" s="14">
        <v>0.45</v>
      </c>
      <c r="E14" s="8">
        <f>+Bud!I47</f>
        <v>9703.698066666668</v>
      </c>
      <c r="F14" s="8">
        <f t="shared" si="0"/>
        <v>-5788.698066666668</v>
      </c>
      <c r="G14" s="8">
        <f aca="true" t="shared" si="2" ref="G14:G25">+UNITCOST</f>
        <v>14228.160741271402</v>
      </c>
      <c r="H14" s="8">
        <f t="shared" si="1"/>
        <v>-10313.160741271402</v>
      </c>
    </row>
    <row r="15" spans="2:8" ht="12.75">
      <c r="B15" s="7">
        <v>5</v>
      </c>
      <c r="C15" s="7">
        <v>21750</v>
      </c>
      <c r="D15" s="14">
        <v>0.45</v>
      </c>
      <c r="E15" s="8">
        <f>+Bud!I47</f>
        <v>9703.698066666668</v>
      </c>
      <c r="F15" s="8">
        <f t="shared" si="0"/>
        <v>83.80193333333227</v>
      </c>
      <c r="G15" s="8">
        <f t="shared" si="2"/>
        <v>14228.160741271402</v>
      </c>
      <c r="H15" s="8">
        <f t="shared" si="1"/>
        <v>-4440.660741271402</v>
      </c>
    </row>
    <row r="16" spans="2:8" ht="12.75">
      <c r="B16" s="7">
        <v>6</v>
      </c>
      <c r="C16" s="7">
        <f aca="true" t="shared" si="3" ref="C16:C25">MEDY</f>
        <v>43500</v>
      </c>
      <c r="D16" s="14">
        <v>0.45</v>
      </c>
      <c r="E16" s="8">
        <f>+Bud!I47</f>
        <v>9703.698066666668</v>
      </c>
      <c r="F16" s="8">
        <f t="shared" si="0"/>
        <v>9871.301933333332</v>
      </c>
      <c r="G16" s="8">
        <f t="shared" si="2"/>
        <v>14228.160741271402</v>
      </c>
      <c r="H16" s="8">
        <f t="shared" si="1"/>
        <v>5346.839258728598</v>
      </c>
    </row>
    <row r="17" spans="2:8" ht="12.75">
      <c r="B17" s="7">
        <v>7</v>
      </c>
      <c r="C17" s="7">
        <f t="shared" si="3"/>
        <v>43500</v>
      </c>
      <c r="D17" s="14">
        <v>0.45</v>
      </c>
      <c r="E17" s="8">
        <f>+Bud!I47</f>
        <v>9703.698066666668</v>
      </c>
      <c r="F17" s="8">
        <f t="shared" si="0"/>
        <v>9871.301933333332</v>
      </c>
      <c r="G17" s="8">
        <f t="shared" si="2"/>
        <v>14228.160741271402</v>
      </c>
      <c r="H17" s="8">
        <f t="shared" si="1"/>
        <v>5346.839258728598</v>
      </c>
    </row>
    <row r="18" spans="2:8" ht="12.75">
      <c r="B18" s="7">
        <v>8</v>
      </c>
      <c r="C18" s="7">
        <f t="shared" si="3"/>
        <v>43500</v>
      </c>
      <c r="D18" s="14">
        <v>0.45</v>
      </c>
      <c r="E18" s="8">
        <f>Bud!I$47</f>
        <v>9703.698066666668</v>
      </c>
      <c r="F18" s="8">
        <f t="shared" si="0"/>
        <v>9871.301933333332</v>
      </c>
      <c r="G18" s="8">
        <f t="shared" si="2"/>
        <v>14228.160741271402</v>
      </c>
      <c r="H18" s="8">
        <f t="shared" si="1"/>
        <v>5346.839258728598</v>
      </c>
    </row>
    <row r="19" spans="2:8" ht="12.75">
      <c r="B19" s="7">
        <v>9</v>
      </c>
      <c r="C19" s="7">
        <f t="shared" si="3"/>
        <v>43500</v>
      </c>
      <c r="D19" s="14">
        <v>0.45</v>
      </c>
      <c r="E19" s="8">
        <f>Bud!I$47</f>
        <v>9703.698066666668</v>
      </c>
      <c r="F19" s="8">
        <f t="shared" si="0"/>
        <v>9871.301933333332</v>
      </c>
      <c r="G19" s="8">
        <f t="shared" si="2"/>
        <v>14228.160741271402</v>
      </c>
      <c r="H19" s="8">
        <f t="shared" si="1"/>
        <v>5346.839258728598</v>
      </c>
    </row>
    <row r="20" spans="2:9" ht="12.75">
      <c r="B20" s="7">
        <v>10</v>
      </c>
      <c r="C20" s="7">
        <f t="shared" si="3"/>
        <v>43500</v>
      </c>
      <c r="D20" s="14">
        <v>0.45</v>
      </c>
      <c r="E20" s="8">
        <f>Bud!I$47</f>
        <v>9703.698066666668</v>
      </c>
      <c r="F20" s="8">
        <f t="shared" si="0"/>
        <v>9871.301933333332</v>
      </c>
      <c r="G20" s="8">
        <f t="shared" si="2"/>
        <v>14228.160741271402</v>
      </c>
      <c r="H20" s="8">
        <f t="shared" si="1"/>
        <v>5346.839258728598</v>
      </c>
      <c r="I20" s="15" t="s">
        <v>76</v>
      </c>
    </row>
    <row r="21" spans="2:8" ht="12.75">
      <c r="B21" s="7">
        <v>11</v>
      </c>
      <c r="C21" s="7">
        <f t="shared" si="3"/>
        <v>43500</v>
      </c>
      <c r="D21" s="14">
        <v>0.45</v>
      </c>
      <c r="E21" s="8">
        <f>Bud!I$47</f>
        <v>9703.698066666668</v>
      </c>
      <c r="F21" s="8">
        <f t="shared" si="0"/>
        <v>9871.301933333332</v>
      </c>
      <c r="G21" s="8">
        <f t="shared" si="2"/>
        <v>14228.160741271402</v>
      </c>
      <c r="H21" s="8">
        <f t="shared" si="1"/>
        <v>5346.839258728598</v>
      </c>
    </row>
    <row r="22" spans="2:8" ht="12.75">
      <c r="B22" s="7">
        <v>12</v>
      </c>
      <c r="C22" s="7">
        <f t="shared" si="3"/>
        <v>43500</v>
      </c>
      <c r="D22" s="14">
        <v>0.45</v>
      </c>
      <c r="E22" s="8">
        <f>Bud!I$47</f>
        <v>9703.698066666668</v>
      </c>
      <c r="F22" s="8">
        <f t="shared" si="0"/>
        <v>9871.301933333332</v>
      </c>
      <c r="G22" s="8">
        <f t="shared" si="2"/>
        <v>14228.160741271402</v>
      </c>
      <c r="H22" s="8">
        <f t="shared" si="1"/>
        <v>5346.839258728598</v>
      </c>
    </row>
    <row r="23" spans="2:8" ht="12.75">
      <c r="B23" s="7">
        <v>13</v>
      </c>
      <c r="C23" s="7">
        <f t="shared" si="3"/>
        <v>43500</v>
      </c>
      <c r="D23" s="14">
        <v>0.45</v>
      </c>
      <c r="E23" s="8">
        <f>Bud!I$47</f>
        <v>9703.698066666668</v>
      </c>
      <c r="F23" s="8">
        <f t="shared" si="0"/>
        <v>9871.301933333332</v>
      </c>
      <c r="G23" s="8">
        <f t="shared" si="2"/>
        <v>14228.160741271402</v>
      </c>
      <c r="H23" s="8">
        <f t="shared" si="1"/>
        <v>5346.839258728598</v>
      </c>
    </row>
    <row r="24" spans="2:8" ht="12.75">
      <c r="B24" s="7">
        <v>14</v>
      </c>
      <c r="C24" s="7">
        <f t="shared" si="3"/>
        <v>43500</v>
      </c>
      <c r="D24" s="14">
        <v>0.45</v>
      </c>
      <c r="E24" s="8">
        <f>Bud!I$47</f>
        <v>9703.698066666668</v>
      </c>
      <c r="F24" s="8">
        <f t="shared" si="0"/>
        <v>9871.301933333332</v>
      </c>
      <c r="G24" s="8">
        <f t="shared" si="2"/>
        <v>14228.160741271402</v>
      </c>
      <c r="H24" s="8">
        <f t="shared" si="1"/>
        <v>5346.839258728598</v>
      </c>
    </row>
    <row r="25" spans="2:8" ht="12.75">
      <c r="B25" s="7">
        <v>15</v>
      </c>
      <c r="C25" s="7">
        <f t="shared" si="3"/>
        <v>43500</v>
      </c>
      <c r="D25" s="14">
        <v>0.45</v>
      </c>
      <c r="E25" s="8">
        <f>Bud!I$47</f>
        <v>9703.698066666668</v>
      </c>
      <c r="F25" s="8">
        <f t="shared" si="0"/>
        <v>9871.301933333332</v>
      </c>
      <c r="G25" s="8">
        <f t="shared" si="2"/>
        <v>14228.160741271402</v>
      </c>
      <c r="H25" s="8">
        <f t="shared" si="1"/>
        <v>5346.839258728598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76</v>
      </c>
      <c r="D27" s="7" t="s">
        <v>217</v>
      </c>
      <c r="E27" s="7"/>
      <c r="F27" s="7"/>
      <c r="G27" s="7"/>
      <c r="H27" s="7"/>
    </row>
    <row r="28" spans="2:8" ht="12.75">
      <c r="B28" s="7"/>
      <c r="C28" s="7"/>
      <c r="D28" s="7" t="s">
        <v>145</v>
      </c>
      <c r="E28" s="7"/>
      <c r="F28" s="7"/>
      <c r="G28" s="7"/>
      <c r="H28" s="7"/>
    </row>
    <row r="30" ht="12.75">
      <c r="C30" s="1" t="s">
        <v>81</v>
      </c>
    </row>
    <row r="31" ht="12.75">
      <c r="B31" s="1" t="s">
        <v>81</v>
      </c>
    </row>
    <row r="32" ht="12.75"/>
    <row r="33" ht="12.75"/>
    <row r="34" ht="12.75"/>
    <row r="35" spans="1:9" ht="12.75">
      <c r="A35" s="97"/>
      <c r="B35" s="97"/>
      <c r="C35" s="97"/>
      <c r="D35" s="97"/>
      <c r="E35" s="97"/>
      <c r="F35" s="97"/>
      <c r="G35" s="97"/>
      <c r="H35" s="97"/>
      <c r="I35" s="93"/>
    </row>
    <row r="36" spans="1:9" ht="12.75">
      <c r="A36" s="196"/>
      <c r="B36" s="196"/>
      <c r="C36" s="196"/>
      <c r="D36" s="196"/>
      <c r="E36" s="196"/>
      <c r="F36" s="196"/>
      <c r="G36" s="196"/>
      <c r="H36" s="196"/>
      <c r="I36" s="196"/>
    </row>
    <row r="37" spans="1:9" ht="12.75">
      <c r="A37" s="196"/>
      <c r="B37" s="196"/>
      <c r="C37" s="196"/>
      <c r="D37" s="196"/>
      <c r="E37" s="196"/>
      <c r="F37" s="196"/>
      <c r="G37" s="196"/>
      <c r="H37" s="196"/>
      <c r="I37" s="196"/>
    </row>
  </sheetData>
  <sheetProtection/>
  <mergeCells count="3">
    <mergeCell ref="D4:F4"/>
    <mergeCell ref="A36:I36"/>
    <mergeCell ref="A37:I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35" t="s">
        <v>197</v>
      </c>
      <c r="B1" s="1" t="s">
        <v>82</v>
      </c>
      <c r="C1" s="15"/>
      <c r="D1" s="35" t="s">
        <v>197</v>
      </c>
      <c r="E1" s="1" t="s">
        <v>82</v>
      </c>
      <c r="F1" s="15"/>
      <c r="G1" s="35" t="s">
        <v>197</v>
      </c>
      <c r="H1" s="1" t="s">
        <v>82</v>
      </c>
    </row>
    <row r="2" spans="1:8" ht="12.75">
      <c r="A2" s="7" t="s">
        <v>90</v>
      </c>
      <c r="B2" s="1" t="s">
        <v>86</v>
      </c>
      <c r="C2" s="15"/>
      <c r="D2" s="7" t="s">
        <v>90</v>
      </c>
      <c r="E2" s="1" t="s">
        <v>83</v>
      </c>
      <c r="F2" s="15"/>
      <c r="G2" s="7" t="s">
        <v>90</v>
      </c>
      <c r="H2" s="1" t="s">
        <v>89</v>
      </c>
    </row>
    <row r="3" spans="1:8" ht="12.75">
      <c r="A3" s="7" t="s">
        <v>90</v>
      </c>
      <c r="B3" s="1" t="s">
        <v>84</v>
      </c>
      <c r="D3" s="7" t="s">
        <v>90</v>
      </c>
      <c r="E3" s="1" t="s">
        <v>85</v>
      </c>
      <c r="G3" s="7" t="s">
        <v>90</v>
      </c>
      <c r="H3" s="1" t="s">
        <v>84</v>
      </c>
    </row>
    <row r="4" spans="1:8" ht="12.75">
      <c r="A4" s="7" t="s">
        <v>90</v>
      </c>
      <c r="B4" s="1" t="s">
        <v>87</v>
      </c>
      <c r="D4" s="7" t="s">
        <v>90</v>
      </c>
      <c r="E4" s="1" t="s">
        <v>88</v>
      </c>
      <c r="G4" s="7" t="s">
        <v>90</v>
      </c>
      <c r="H4" s="1" t="s">
        <v>87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AQ137"/>
  <sheetViews>
    <sheetView tabSelected="1" zoomScalePageLayoutView="0" workbookViewId="0" topLeftCell="A76">
      <selection activeCell="N109" sqref="N109"/>
    </sheetView>
  </sheetViews>
  <sheetFormatPr defaultColWidth="9.140625" defaultRowHeight="12.75"/>
  <cols>
    <col min="1" max="1" width="2.140625" style="101" customWidth="1"/>
    <col min="2" max="2" width="8.28125" style="101" customWidth="1"/>
    <col min="3" max="3" width="8.421875" style="101" customWidth="1"/>
    <col min="4" max="4" width="10.421875" style="101" customWidth="1"/>
    <col min="5" max="5" width="8.7109375" style="101" customWidth="1"/>
    <col min="6" max="6" width="9.140625" style="101" customWidth="1"/>
    <col min="7" max="7" width="10.28125" style="101" customWidth="1"/>
    <col min="8" max="8" width="9.28125" style="101" customWidth="1"/>
    <col min="9" max="9" width="9.421875" style="101" customWidth="1"/>
    <col min="10" max="10" width="8.140625" style="101" customWidth="1"/>
    <col min="11" max="11" width="7.28125" style="101" customWidth="1"/>
    <col min="12" max="12" width="11.7109375" style="101" customWidth="1"/>
    <col min="13" max="31" width="9.140625" style="101" customWidth="1"/>
    <col min="32" max="32" width="3.28125" style="101" customWidth="1"/>
    <col min="33" max="33" width="1.57421875" style="101" customWidth="1"/>
    <col min="34" max="34" width="2.421875" style="101" customWidth="1"/>
    <col min="35" max="35" width="54.7109375" style="101" customWidth="1"/>
    <col min="36" max="36" width="2.421875" style="101" customWidth="1"/>
    <col min="37" max="37" width="1.57421875" style="101" customWidth="1"/>
    <col min="38" max="16384" width="9.140625" style="101" customWidth="1"/>
  </cols>
  <sheetData>
    <row r="1" spans="1:12" ht="15.75">
      <c r="A1" s="147"/>
      <c r="B1" s="147"/>
      <c r="C1" s="147"/>
      <c r="D1" s="148"/>
      <c r="E1" s="149" t="s">
        <v>360</v>
      </c>
      <c r="F1" s="148"/>
      <c r="G1" s="148"/>
      <c r="H1" s="148"/>
      <c r="I1" s="148"/>
      <c r="J1" s="148"/>
      <c r="K1" s="147"/>
      <c r="L1" s="147"/>
    </row>
    <row r="2" spans="1:12" ht="12.75">
      <c r="A2" s="101" t="s">
        <v>3</v>
      </c>
      <c r="B2" s="182" t="s">
        <v>316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2:12" ht="12.75">
      <c r="B3" s="182" t="s">
        <v>317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4:11" ht="12.75">
      <c r="D4" s="146"/>
      <c r="E4" s="146"/>
      <c r="F4" s="146"/>
      <c r="G4" s="146"/>
      <c r="H4" s="146"/>
      <c r="I4" s="146"/>
      <c r="J4" s="146"/>
      <c r="K4" s="101" t="s">
        <v>0</v>
      </c>
    </row>
    <row r="5" spans="2:12" ht="12.75">
      <c r="B5" s="183">
        <v>2021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ht="12.75">
      <c r="K6" s="101" t="s">
        <v>0</v>
      </c>
    </row>
    <row r="7" spans="5:11" ht="20.25">
      <c r="E7" s="102" t="s">
        <v>331</v>
      </c>
      <c r="J7" s="103" t="s">
        <v>0</v>
      </c>
      <c r="K7" s="101" t="s">
        <v>0</v>
      </c>
    </row>
    <row r="8" ht="12.75">
      <c r="A8" s="101" t="s">
        <v>2</v>
      </c>
    </row>
    <row r="9" spans="6:11" ht="12.75">
      <c r="F9" s="104"/>
      <c r="K9" s="101" t="s">
        <v>0</v>
      </c>
    </row>
    <row r="10" spans="1:17" ht="12.75" customHeight="1">
      <c r="A10" s="186" t="s">
        <v>362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M10" s="105"/>
      <c r="N10" s="105"/>
      <c r="O10" s="106"/>
      <c r="P10" s="105"/>
      <c r="Q10" s="105"/>
    </row>
    <row r="11" spans="5:17" ht="15.75">
      <c r="E11" s="107"/>
      <c r="M11" s="108"/>
      <c r="N11" s="108"/>
      <c r="O11" s="109"/>
      <c r="P11" s="108"/>
      <c r="Q11" s="108"/>
    </row>
    <row r="12" spans="5:11" ht="12.75">
      <c r="E12" s="101" t="s">
        <v>246</v>
      </c>
      <c r="K12" s="101" t="s">
        <v>0</v>
      </c>
    </row>
    <row r="13" spans="5:11" ht="12.75">
      <c r="E13" s="101" t="s">
        <v>6</v>
      </c>
      <c r="I13" s="105">
        <v>1</v>
      </c>
      <c r="K13" s="101" t="s">
        <v>2</v>
      </c>
    </row>
    <row r="14" spans="4:11" ht="12.75">
      <c r="D14" s="101" t="s">
        <v>156</v>
      </c>
      <c r="I14" s="105">
        <v>1</v>
      </c>
      <c r="K14" s="101" t="s">
        <v>0</v>
      </c>
    </row>
    <row r="15" ht="12.75">
      <c r="K15" s="101" t="s">
        <v>0</v>
      </c>
    </row>
    <row r="16" spans="2:11" ht="12.75">
      <c r="B16" s="104"/>
      <c r="C16" s="104"/>
      <c r="D16" s="104"/>
      <c r="E16" s="110" t="s">
        <v>103</v>
      </c>
      <c r="F16" s="110" t="s">
        <v>179</v>
      </c>
      <c r="G16" s="110" t="s">
        <v>171</v>
      </c>
      <c r="H16" s="109" t="s">
        <v>186</v>
      </c>
      <c r="I16" s="109" t="s">
        <v>250</v>
      </c>
      <c r="J16" s="103" t="s">
        <v>0</v>
      </c>
      <c r="K16" s="101" t="s">
        <v>0</v>
      </c>
    </row>
    <row r="17" spans="5:11" ht="12.75">
      <c r="E17" s="111"/>
      <c r="F17" s="111"/>
      <c r="G17" s="111"/>
      <c r="H17" s="111"/>
      <c r="I17" s="111"/>
      <c r="K17" s="101" t="s">
        <v>0</v>
      </c>
    </row>
    <row r="18" spans="2:12" ht="15" customHeight="1">
      <c r="B18" s="101" t="s">
        <v>79</v>
      </c>
      <c r="E18" s="105">
        <v>52635</v>
      </c>
      <c r="F18" s="105">
        <v>47850</v>
      </c>
      <c r="G18" s="106">
        <v>43500</v>
      </c>
      <c r="H18" s="105">
        <v>39150</v>
      </c>
      <c r="I18" s="105">
        <v>35235</v>
      </c>
      <c r="J18" s="112"/>
      <c r="K18" s="112"/>
      <c r="L18" s="112"/>
    </row>
    <row r="19" spans="2:18" ht="15" customHeight="1">
      <c r="B19" s="101" t="s">
        <v>77</v>
      </c>
      <c r="E19" s="108">
        <v>0.72</v>
      </c>
      <c r="F19" s="108">
        <v>0.66</v>
      </c>
      <c r="G19" s="109">
        <v>0.6</v>
      </c>
      <c r="H19" s="108">
        <v>0.54</v>
      </c>
      <c r="I19" s="108">
        <v>0.48</v>
      </c>
      <c r="J19" s="112"/>
      <c r="K19" s="112"/>
      <c r="N19" s="108"/>
      <c r="O19" s="108"/>
      <c r="P19" s="133"/>
      <c r="Q19" s="108"/>
      <c r="R19" s="108"/>
    </row>
    <row r="20" spans="11:19" ht="15" customHeight="1">
      <c r="K20" s="101" t="s">
        <v>0</v>
      </c>
      <c r="S20" s="101" t="s">
        <v>0</v>
      </c>
    </row>
    <row r="21" spans="2:11" ht="15" customHeight="1">
      <c r="B21" s="104" t="s">
        <v>157</v>
      </c>
      <c r="C21" s="104"/>
      <c r="D21" s="104"/>
      <c r="E21" s="104"/>
      <c r="F21" s="110" t="s">
        <v>241</v>
      </c>
      <c r="G21" s="110" t="s">
        <v>198</v>
      </c>
      <c r="H21" s="109" t="s">
        <v>194</v>
      </c>
      <c r="I21" s="106" t="s">
        <v>66</v>
      </c>
      <c r="J21" s="113" t="s">
        <v>220</v>
      </c>
      <c r="K21" s="101" t="s">
        <v>0</v>
      </c>
    </row>
    <row r="22" ht="15" customHeight="1">
      <c r="K22" s="101" t="s">
        <v>0</v>
      </c>
    </row>
    <row r="23" spans="2:9" ht="15" customHeight="1">
      <c r="B23" s="101" t="s">
        <v>247</v>
      </c>
      <c r="I23" s="114" t="s">
        <v>0</v>
      </c>
    </row>
    <row r="24" spans="3:11" ht="15" customHeight="1">
      <c r="C24" s="115" t="s">
        <v>124</v>
      </c>
      <c r="D24" s="115"/>
      <c r="E24" s="115"/>
      <c r="F24" s="116" t="s">
        <v>91</v>
      </c>
      <c r="G24" s="117">
        <v>1000</v>
      </c>
      <c r="H24" s="117">
        <v>0.3</v>
      </c>
      <c r="I24" s="117">
        <f aca="true" t="shared" si="0" ref="I24:I38">G24*H24</f>
        <v>300</v>
      </c>
      <c r="J24" s="118">
        <f>I24*I13</f>
        <v>300</v>
      </c>
      <c r="K24" s="111"/>
    </row>
    <row r="25" spans="3:11" ht="15" customHeight="1">
      <c r="C25" s="115" t="s">
        <v>293</v>
      </c>
      <c r="D25" s="115"/>
      <c r="E25" s="115"/>
      <c r="F25" s="116" t="s">
        <v>91</v>
      </c>
      <c r="G25" s="117">
        <v>2</v>
      </c>
      <c r="H25" s="117">
        <v>10</v>
      </c>
      <c r="I25" s="117">
        <f t="shared" si="0"/>
        <v>20</v>
      </c>
      <c r="J25" s="118">
        <f>I25*I13</f>
        <v>20</v>
      </c>
      <c r="K25" s="111" t="s">
        <v>0</v>
      </c>
    </row>
    <row r="26" spans="3:11" ht="15" customHeight="1">
      <c r="C26" s="115" t="s">
        <v>294</v>
      </c>
      <c r="D26" s="115"/>
      <c r="E26" s="115"/>
      <c r="F26" s="116" t="s">
        <v>91</v>
      </c>
      <c r="G26" s="117">
        <v>2</v>
      </c>
      <c r="H26" s="117">
        <v>40</v>
      </c>
      <c r="I26" s="117">
        <f t="shared" si="0"/>
        <v>80</v>
      </c>
      <c r="J26" s="118">
        <f aca="true" t="shared" si="1" ref="J26:J31">I26*I$14</f>
        <v>80</v>
      </c>
      <c r="K26" s="111"/>
    </row>
    <row r="27" spans="3:11" ht="15" customHeight="1">
      <c r="C27" s="115" t="s">
        <v>295</v>
      </c>
      <c r="D27" s="115"/>
      <c r="E27" s="115"/>
      <c r="F27" s="116" t="s">
        <v>91</v>
      </c>
      <c r="G27" s="117">
        <v>5</v>
      </c>
      <c r="H27" s="117">
        <v>10</v>
      </c>
      <c r="I27" s="117">
        <f t="shared" si="0"/>
        <v>50</v>
      </c>
      <c r="J27" s="118">
        <f t="shared" si="1"/>
        <v>50</v>
      </c>
      <c r="K27" s="111"/>
    </row>
    <row r="28" spans="3:11" ht="15" customHeight="1">
      <c r="C28" s="115" t="s">
        <v>147</v>
      </c>
      <c r="D28" s="115"/>
      <c r="E28" s="115"/>
      <c r="F28" s="116" t="s">
        <v>91</v>
      </c>
      <c r="G28" s="117">
        <v>5</v>
      </c>
      <c r="H28" s="117">
        <f>15</f>
        <v>15</v>
      </c>
      <c r="I28" s="117">
        <f t="shared" si="0"/>
        <v>75</v>
      </c>
      <c r="J28" s="118">
        <f t="shared" si="1"/>
        <v>75</v>
      </c>
      <c r="K28" s="111"/>
    </row>
    <row r="29" spans="3:11" ht="15" customHeight="1">
      <c r="C29" s="115" t="s">
        <v>134</v>
      </c>
      <c r="D29" s="115"/>
      <c r="E29" s="115"/>
      <c r="F29" s="116" t="s">
        <v>91</v>
      </c>
      <c r="G29" s="117">
        <v>2</v>
      </c>
      <c r="H29" s="117">
        <v>50</v>
      </c>
      <c r="I29" s="117">
        <f t="shared" si="0"/>
        <v>100</v>
      </c>
      <c r="J29" s="118">
        <f t="shared" si="1"/>
        <v>100</v>
      </c>
      <c r="K29" s="111"/>
    </row>
    <row r="30" spans="3:11" ht="15" customHeight="1">
      <c r="C30" s="115" t="s">
        <v>337</v>
      </c>
      <c r="D30" s="115"/>
      <c r="E30" s="115"/>
      <c r="F30" s="116" t="s">
        <v>238</v>
      </c>
      <c r="G30" s="117">
        <v>5</v>
      </c>
      <c r="H30" s="117">
        <v>15</v>
      </c>
      <c r="I30" s="117">
        <f t="shared" si="0"/>
        <v>75</v>
      </c>
      <c r="J30" s="118">
        <f t="shared" si="1"/>
        <v>75</v>
      </c>
      <c r="K30" s="111"/>
    </row>
    <row r="31" spans="3:11" ht="15" customHeight="1">
      <c r="C31" s="115" t="s">
        <v>296</v>
      </c>
      <c r="D31" s="115"/>
      <c r="E31" s="115"/>
      <c r="F31" s="116" t="s">
        <v>91</v>
      </c>
      <c r="G31" s="117">
        <v>1</v>
      </c>
      <c r="H31" s="117">
        <v>35</v>
      </c>
      <c r="I31" s="117">
        <f t="shared" si="0"/>
        <v>35</v>
      </c>
      <c r="J31" s="118">
        <f t="shared" si="1"/>
        <v>35</v>
      </c>
      <c r="K31" s="111"/>
    </row>
    <row r="32" spans="3:11" ht="15" customHeight="1">
      <c r="C32" s="115" t="s">
        <v>297</v>
      </c>
      <c r="D32" s="115"/>
      <c r="E32" s="115"/>
      <c r="F32" s="116" t="s">
        <v>91</v>
      </c>
      <c r="G32" s="117">
        <v>1</v>
      </c>
      <c r="H32" s="117">
        <v>6</v>
      </c>
      <c r="I32" s="117">
        <f t="shared" si="0"/>
        <v>6</v>
      </c>
      <c r="J32" s="118">
        <f>I32*I13</f>
        <v>6</v>
      </c>
      <c r="K32" s="111"/>
    </row>
    <row r="33" spans="3:11" ht="15" customHeight="1">
      <c r="C33" s="115" t="s">
        <v>289</v>
      </c>
      <c r="D33" s="115"/>
      <c r="E33" s="115"/>
      <c r="F33" s="116" t="s">
        <v>91</v>
      </c>
      <c r="G33" s="117">
        <v>1</v>
      </c>
      <c r="H33" s="117">
        <v>75</v>
      </c>
      <c r="I33" s="117">
        <f t="shared" si="0"/>
        <v>75</v>
      </c>
      <c r="J33" s="118">
        <f>I33*I$14</f>
        <v>75</v>
      </c>
      <c r="K33" s="111"/>
    </row>
    <row r="34" spans="3:11" ht="15" customHeight="1">
      <c r="C34" s="115" t="s">
        <v>159</v>
      </c>
      <c r="D34" s="115"/>
      <c r="E34" s="115"/>
      <c r="F34" s="116" t="s">
        <v>144</v>
      </c>
      <c r="G34" s="117">
        <v>200</v>
      </c>
      <c r="H34" s="117">
        <v>10</v>
      </c>
      <c r="I34" s="117">
        <f t="shared" si="0"/>
        <v>2000</v>
      </c>
      <c r="J34" s="118">
        <f>I34*I$14</f>
        <v>2000</v>
      </c>
      <c r="K34" s="111"/>
    </row>
    <row r="35" spans="3:11" ht="15" customHeight="1">
      <c r="C35" s="115" t="s">
        <v>56</v>
      </c>
      <c r="D35" s="115"/>
      <c r="E35" s="115"/>
      <c r="F35" s="116" t="s">
        <v>91</v>
      </c>
      <c r="G35" s="117">
        <v>1</v>
      </c>
      <c r="H35" s="117">
        <v>29.98</v>
      </c>
      <c r="I35" s="117">
        <f t="shared" si="0"/>
        <v>29.98</v>
      </c>
      <c r="J35" s="118">
        <f>I35*I$14</f>
        <v>29.98</v>
      </c>
      <c r="K35" s="111"/>
    </row>
    <row r="36" spans="3:11" ht="15" customHeight="1">
      <c r="C36" s="115" t="s">
        <v>62</v>
      </c>
      <c r="D36" s="115"/>
      <c r="E36" s="115"/>
      <c r="F36" s="116" t="s">
        <v>91</v>
      </c>
      <c r="G36" s="117">
        <v>1</v>
      </c>
      <c r="H36" s="117">
        <v>37</v>
      </c>
      <c r="I36" s="117">
        <f t="shared" si="0"/>
        <v>37</v>
      </c>
      <c r="J36" s="118">
        <f>I36*I13</f>
        <v>37</v>
      </c>
      <c r="K36" s="111"/>
    </row>
    <row r="37" spans="3:11" ht="15" customHeight="1">
      <c r="C37" s="115" t="s">
        <v>300</v>
      </c>
      <c r="D37" s="115"/>
      <c r="E37" s="115"/>
      <c r="F37" s="116" t="s">
        <v>91</v>
      </c>
      <c r="G37" s="117">
        <v>1</v>
      </c>
      <c r="H37" s="117">
        <f>+Drip!I48</f>
        <v>1413.3243666666667</v>
      </c>
      <c r="I37" s="117">
        <f t="shared" si="0"/>
        <v>1413.3243666666667</v>
      </c>
      <c r="J37" s="118">
        <f>I37*I13</f>
        <v>1413.3243666666667</v>
      </c>
      <c r="K37" s="111"/>
    </row>
    <row r="38" spans="3:11" ht="15" customHeight="1">
      <c r="C38" s="115" t="s">
        <v>153</v>
      </c>
      <c r="D38" s="115"/>
      <c r="E38" s="115"/>
      <c r="F38" s="116"/>
      <c r="G38" s="117">
        <f>SUM(I20:I36)</f>
        <v>2882.98</v>
      </c>
      <c r="H38" s="119">
        <v>0.065</v>
      </c>
      <c r="I38" s="117">
        <f t="shared" si="0"/>
        <v>187.3937</v>
      </c>
      <c r="J38" s="118">
        <f>I38*I13</f>
        <v>187.3937</v>
      </c>
      <c r="K38" s="120" t="s">
        <v>0</v>
      </c>
    </row>
    <row r="39" spans="3:11" ht="15" customHeight="1" thickBot="1">
      <c r="C39" s="121" t="s">
        <v>309</v>
      </c>
      <c r="D39" s="121"/>
      <c r="E39" s="121"/>
      <c r="F39" s="122"/>
      <c r="G39" s="123"/>
      <c r="H39" s="176">
        <f>SUM(I24:I38)</f>
        <v>4483.698066666667</v>
      </c>
      <c r="I39" s="176">
        <f>SUM(I24:I38)</f>
        <v>4483.698066666667</v>
      </c>
      <c r="J39" s="177">
        <f>SUM(J24:J38)</f>
        <v>4483.698066666667</v>
      </c>
      <c r="K39" s="120"/>
    </row>
    <row r="40" spans="6:11" ht="15" customHeight="1" thickTop="1">
      <c r="F40" s="111"/>
      <c r="G40" s="124"/>
      <c r="H40" s="124"/>
      <c r="I40" s="124"/>
      <c r="J40" s="118"/>
      <c r="K40" s="111" t="s">
        <v>0</v>
      </c>
    </row>
    <row r="41" spans="2:11" ht="15" customHeight="1">
      <c r="B41" s="104"/>
      <c r="C41" s="121" t="s">
        <v>309</v>
      </c>
      <c r="F41" s="111"/>
      <c r="G41" s="125"/>
      <c r="H41" s="125"/>
      <c r="I41" s="126">
        <f>SUM(I23:I38)</f>
        <v>4483.698066666667</v>
      </c>
      <c r="J41" s="127">
        <f>I41*I13</f>
        <v>4483.698066666667</v>
      </c>
      <c r="K41" s="120" t="s">
        <v>0</v>
      </c>
    </row>
    <row r="42" ht="15" customHeight="1">
      <c r="K42" s="120" t="s">
        <v>0</v>
      </c>
    </row>
    <row r="43" spans="2:11" ht="15" customHeight="1">
      <c r="B43" s="121" t="s">
        <v>139</v>
      </c>
      <c r="C43" s="115"/>
      <c r="D43" s="115"/>
      <c r="E43" s="115"/>
      <c r="F43" s="110" t="s">
        <v>241</v>
      </c>
      <c r="G43" s="110" t="s">
        <v>198</v>
      </c>
      <c r="H43" s="109" t="s">
        <v>194</v>
      </c>
      <c r="I43" s="106" t="s">
        <v>66</v>
      </c>
      <c r="J43" s="113" t="s">
        <v>220</v>
      </c>
      <c r="K43" s="120" t="s">
        <v>0</v>
      </c>
    </row>
    <row r="44" spans="2:11" ht="15" customHeight="1">
      <c r="B44" s="115"/>
      <c r="C44" s="115" t="s">
        <v>353</v>
      </c>
      <c r="D44" s="115"/>
      <c r="E44" s="115"/>
      <c r="F44" s="116" t="s">
        <v>91</v>
      </c>
      <c r="G44" s="128">
        <f>MEDY*0.75</f>
        <v>32625</v>
      </c>
      <c r="H44" s="128">
        <v>0.15</v>
      </c>
      <c r="I44" s="128">
        <f>G44*H44</f>
        <v>4893.75</v>
      </c>
      <c r="J44" s="129">
        <f>I44*I13</f>
        <v>4893.75</v>
      </c>
      <c r="K44" s="120"/>
    </row>
    <row r="45" spans="2:14" ht="15" customHeight="1">
      <c r="B45" s="115"/>
      <c r="C45" s="115" t="s">
        <v>301</v>
      </c>
      <c r="D45" s="115"/>
      <c r="E45" s="115"/>
      <c r="F45" s="116" t="s">
        <v>91</v>
      </c>
      <c r="G45" s="128">
        <f>MEDY*0.75</f>
        <v>32625</v>
      </c>
      <c r="H45" s="128">
        <v>0.01</v>
      </c>
      <c r="I45" s="128">
        <f>G45*H45</f>
        <v>326.25</v>
      </c>
      <c r="J45" s="129">
        <f>I45*I13</f>
        <v>326.25</v>
      </c>
      <c r="K45" s="111"/>
      <c r="N45" s="178"/>
    </row>
    <row r="46" spans="2:11" ht="15" customHeight="1" thickBot="1">
      <c r="B46" s="121" t="s">
        <v>231</v>
      </c>
      <c r="C46" s="115"/>
      <c r="D46" s="115"/>
      <c r="E46" s="115"/>
      <c r="F46" s="116" t="s">
        <v>65</v>
      </c>
      <c r="G46" s="116"/>
      <c r="H46" s="115"/>
      <c r="I46" s="176">
        <f>SUM(I44:I45)</f>
        <v>5220</v>
      </c>
      <c r="J46" s="177">
        <f>SUM(J44:J45)</f>
        <v>5220</v>
      </c>
      <c r="K46" s="120" t="s">
        <v>0</v>
      </c>
    </row>
    <row r="47" spans="2:11" ht="15" customHeight="1" thickBot="1" thickTop="1">
      <c r="B47" s="104" t="s">
        <v>236</v>
      </c>
      <c r="F47" s="111"/>
      <c r="G47" s="111"/>
      <c r="H47" s="111"/>
      <c r="I47" s="174">
        <f>I41+I46</f>
        <v>9703.698066666668</v>
      </c>
      <c r="J47" s="175">
        <f>I47*I13</f>
        <v>9703.698066666668</v>
      </c>
      <c r="K47" s="111"/>
    </row>
    <row r="48" spans="6:11" ht="13.5" thickTop="1">
      <c r="F48" s="111"/>
      <c r="G48" s="111"/>
      <c r="H48" s="111"/>
      <c r="I48" s="111"/>
      <c r="J48" s="111"/>
      <c r="K48" s="120" t="s">
        <v>0</v>
      </c>
    </row>
    <row r="49" spans="6:40" ht="12.75">
      <c r="F49" s="111"/>
      <c r="G49" s="111"/>
      <c r="H49" s="111"/>
      <c r="I49" s="111"/>
      <c r="J49" s="111"/>
      <c r="K49" s="120"/>
      <c r="AN49" s="101" t="s">
        <v>111</v>
      </c>
    </row>
    <row r="50" spans="6:11" ht="12.75">
      <c r="F50" s="111"/>
      <c r="G50" s="111"/>
      <c r="H50" s="111"/>
      <c r="I50" s="111"/>
      <c r="J50" s="111"/>
      <c r="K50" s="120"/>
    </row>
    <row r="51" spans="6:11" ht="12.75">
      <c r="F51" s="111"/>
      <c r="G51" s="111"/>
      <c r="H51" s="111"/>
      <c r="I51" s="111"/>
      <c r="J51" s="111"/>
      <c r="K51" s="120"/>
    </row>
    <row r="52" spans="6:11" ht="12.75">
      <c r="F52" s="111"/>
      <c r="G52" s="111"/>
      <c r="H52" s="111"/>
      <c r="I52" s="111"/>
      <c r="J52" s="111"/>
      <c r="K52" s="120"/>
    </row>
    <row r="53" spans="2:11" ht="15" customHeight="1">
      <c r="B53" s="104" t="s">
        <v>126</v>
      </c>
      <c r="C53" s="104"/>
      <c r="F53" s="110" t="s">
        <v>241</v>
      </c>
      <c r="G53" s="110" t="s">
        <v>198</v>
      </c>
      <c r="H53" s="109" t="s">
        <v>194</v>
      </c>
      <c r="I53" s="106" t="s">
        <v>66</v>
      </c>
      <c r="J53" s="113" t="s">
        <v>220</v>
      </c>
      <c r="K53" s="111"/>
    </row>
    <row r="54" spans="3:11" ht="15" customHeight="1">
      <c r="C54" s="101" t="s">
        <v>237</v>
      </c>
      <c r="F54" s="116" t="s">
        <v>91</v>
      </c>
      <c r="G54" s="108">
        <v>1</v>
      </c>
      <c r="H54" s="124">
        <f>FxdCost!I26</f>
        <v>527.75052</v>
      </c>
      <c r="I54" s="124">
        <f>G54*H54</f>
        <v>527.75052</v>
      </c>
      <c r="J54" s="130">
        <f>I13*I54</f>
        <v>527.75052</v>
      </c>
      <c r="K54" s="120" t="s">
        <v>0</v>
      </c>
    </row>
    <row r="55" spans="3:11" ht="15" customHeight="1">
      <c r="C55" s="101" t="s">
        <v>155</v>
      </c>
      <c r="F55" s="111" t="s">
        <v>91</v>
      </c>
      <c r="G55" s="108">
        <v>1</v>
      </c>
      <c r="H55" s="124">
        <f>+SSet!H51</f>
        <v>2077.9333333333334</v>
      </c>
      <c r="I55" s="124">
        <f>G55*H55</f>
        <v>2077.9333333333334</v>
      </c>
      <c r="J55" s="130">
        <f>I13*I55</f>
        <v>2077.9333333333334</v>
      </c>
      <c r="K55" s="111"/>
    </row>
    <row r="56" spans="3:11" ht="15" customHeight="1">
      <c r="C56" s="101" t="s">
        <v>330</v>
      </c>
      <c r="F56" s="111" t="s">
        <v>91</v>
      </c>
      <c r="G56" s="108">
        <v>1</v>
      </c>
      <c r="H56" s="124">
        <f>+Yr3!H67</f>
        <v>1246.2241112714005</v>
      </c>
      <c r="I56" s="124">
        <f>G56*H56</f>
        <v>1246.2241112714005</v>
      </c>
      <c r="J56" s="130">
        <f>I14*I56</f>
        <v>1246.2241112714005</v>
      </c>
      <c r="K56" s="111"/>
    </row>
    <row r="57" spans="3:11" ht="15" customHeight="1">
      <c r="C57" s="101" t="s">
        <v>182</v>
      </c>
      <c r="F57" s="116" t="s">
        <v>91</v>
      </c>
      <c r="G57" s="105">
        <f>I41</f>
        <v>4483.698066666667</v>
      </c>
      <c r="H57" s="124">
        <v>0.15</v>
      </c>
      <c r="I57" s="124">
        <f>G57*H57</f>
        <v>672.55471</v>
      </c>
      <c r="J57" s="130">
        <f>I13*I57</f>
        <v>672.55471</v>
      </c>
      <c r="K57" s="111"/>
    </row>
    <row r="58" spans="2:11" ht="15" customHeight="1" thickBot="1">
      <c r="B58" s="121" t="s">
        <v>312</v>
      </c>
      <c r="F58" s="116" t="s">
        <v>65</v>
      </c>
      <c r="G58" s="111"/>
      <c r="H58" s="125"/>
      <c r="I58" s="171">
        <f>SUM(I54:I57)</f>
        <v>4524.462674604734</v>
      </c>
      <c r="J58" s="173">
        <f>I13*I58</f>
        <v>4524.462674604734</v>
      </c>
      <c r="K58" s="111"/>
    </row>
    <row r="59" spans="7:11" ht="15" customHeight="1" thickTop="1">
      <c r="G59" s="111"/>
      <c r="H59" s="125"/>
      <c r="I59" s="118" t="s">
        <v>0</v>
      </c>
      <c r="J59" s="125"/>
      <c r="K59" s="111"/>
    </row>
    <row r="60" spans="2:17" ht="15" customHeight="1" thickBot="1">
      <c r="B60" s="121" t="s">
        <v>311</v>
      </c>
      <c r="G60" s="111"/>
      <c r="H60" s="125"/>
      <c r="I60" s="171">
        <f>I41+I46+I58</f>
        <v>14228.160741271402</v>
      </c>
      <c r="J60" s="172">
        <f>I13*I60</f>
        <v>14228.160741271402</v>
      </c>
      <c r="K60" s="111"/>
      <c r="M60" s="101" t="s">
        <v>74</v>
      </c>
      <c r="Q60" s="101" t="s">
        <v>74</v>
      </c>
    </row>
    <row r="61" spans="2:17" ht="15" customHeight="1" thickTop="1">
      <c r="B61" s="121"/>
      <c r="G61" s="111"/>
      <c r="H61" s="125"/>
      <c r="I61" s="126"/>
      <c r="J61" s="127"/>
      <c r="K61" s="111"/>
      <c r="M61" s="101" t="s">
        <v>7</v>
      </c>
      <c r="Q61" s="101" t="s">
        <v>74</v>
      </c>
    </row>
    <row r="62" spans="2:17" ht="15" customHeight="1">
      <c r="B62" s="121"/>
      <c r="G62" s="111"/>
      <c r="H62" s="125"/>
      <c r="I62" s="126"/>
      <c r="J62" s="127"/>
      <c r="K62" s="111"/>
      <c r="M62" s="101" t="s">
        <v>1</v>
      </c>
      <c r="Q62" s="101" t="s">
        <v>74</v>
      </c>
    </row>
    <row r="63" spans="2:17" ht="15" customHeight="1" thickBot="1">
      <c r="B63" s="153"/>
      <c r="C63" s="154"/>
      <c r="D63" s="154"/>
      <c r="E63" s="154"/>
      <c r="F63" s="154"/>
      <c r="G63" s="155"/>
      <c r="H63" s="156"/>
      <c r="I63" s="157"/>
      <c r="J63" s="158"/>
      <c r="K63" s="155"/>
      <c r="M63" s="114">
        <f>I13</f>
        <v>1</v>
      </c>
      <c r="N63" s="101" t="s">
        <v>10</v>
      </c>
      <c r="Q63" s="101" t="s">
        <v>74</v>
      </c>
    </row>
    <row r="64" spans="2:17" ht="15" customHeight="1">
      <c r="B64" s="121"/>
      <c r="G64" s="111"/>
      <c r="H64" s="125"/>
      <c r="I64" s="126"/>
      <c r="J64" s="127"/>
      <c r="K64" s="111"/>
      <c r="M64" s="114">
        <f>E18</f>
        <v>52635</v>
      </c>
      <c r="N64" s="101" t="s">
        <v>12</v>
      </c>
      <c r="O64" s="99">
        <f>E19</f>
        <v>0.72</v>
      </c>
      <c r="P64" s="101" t="s">
        <v>11</v>
      </c>
      <c r="Q64" s="101" t="s">
        <v>74</v>
      </c>
    </row>
    <row r="65" spans="7:17" ht="15" customHeight="1">
      <c r="G65" s="111"/>
      <c r="H65" s="111"/>
      <c r="I65" s="111"/>
      <c r="J65" s="111"/>
      <c r="K65" s="111"/>
      <c r="M65" s="114">
        <f>F18</f>
        <v>47850</v>
      </c>
      <c r="N65" s="101" t="s">
        <v>29</v>
      </c>
      <c r="O65" s="99">
        <f>F19</f>
        <v>0.66</v>
      </c>
      <c r="P65" s="101" t="s">
        <v>28</v>
      </c>
      <c r="Q65" s="101" t="s">
        <v>74</v>
      </c>
    </row>
    <row r="66" spans="3:15" ht="15" customHeight="1">
      <c r="C66" s="104" t="s">
        <v>104</v>
      </c>
      <c r="G66" s="111"/>
      <c r="H66" s="111"/>
      <c r="I66" s="111"/>
      <c r="J66" s="111"/>
      <c r="K66" s="111"/>
      <c r="M66" s="114"/>
      <c r="O66" s="99"/>
    </row>
    <row r="67" spans="3:17" ht="15" customHeight="1">
      <c r="C67" s="115" t="s">
        <v>333</v>
      </c>
      <c r="G67" s="111"/>
      <c r="H67" s="111"/>
      <c r="I67" s="108">
        <f>I41/G18</f>
        <v>0.10307351877394637</v>
      </c>
      <c r="J67" s="111"/>
      <c r="K67" s="111"/>
      <c r="M67" s="114">
        <f>G18</f>
        <v>43500</v>
      </c>
      <c r="N67" s="101" t="s">
        <v>22</v>
      </c>
      <c r="O67" s="99">
        <f>G19</f>
        <v>0.6</v>
      </c>
      <c r="P67" s="101" t="s">
        <v>21</v>
      </c>
      <c r="Q67" s="101" t="s">
        <v>74</v>
      </c>
    </row>
    <row r="68" spans="3:17" ht="15" customHeight="1">
      <c r="C68" s="115" t="s">
        <v>334</v>
      </c>
      <c r="G68" s="111"/>
      <c r="H68" s="111"/>
      <c r="I68" s="108">
        <f>I46/G18</f>
        <v>0.12</v>
      </c>
      <c r="J68" s="111"/>
      <c r="K68" s="111"/>
      <c r="M68" s="114">
        <f>H18</f>
        <v>39150</v>
      </c>
      <c r="N68" s="101" t="s">
        <v>32</v>
      </c>
      <c r="O68" s="99">
        <f>H19</f>
        <v>0.54</v>
      </c>
      <c r="P68" s="101" t="s">
        <v>31</v>
      </c>
      <c r="Q68" s="101" t="s">
        <v>74</v>
      </c>
    </row>
    <row r="69" spans="3:17" ht="15" customHeight="1">
      <c r="C69" s="115" t="s">
        <v>335</v>
      </c>
      <c r="D69" s="101" t="s">
        <v>60</v>
      </c>
      <c r="G69" s="111"/>
      <c r="H69" s="111"/>
      <c r="I69" s="108">
        <f>I58/G18</f>
        <v>0.10401063619780998</v>
      </c>
      <c r="J69" s="111"/>
      <c r="K69" s="111"/>
      <c r="M69" s="114">
        <f>I18</f>
        <v>35235</v>
      </c>
      <c r="N69" s="101" t="s">
        <v>55</v>
      </c>
      <c r="O69" s="99">
        <f>I19</f>
        <v>0.48</v>
      </c>
      <c r="P69" s="101" t="s">
        <v>54</v>
      </c>
      <c r="Q69" s="101" t="s">
        <v>74</v>
      </c>
    </row>
    <row r="70" spans="2:17" ht="15" customHeight="1">
      <c r="B70" s="104"/>
      <c r="C70" s="115" t="s">
        <v>336</v>
      </c>
      <c r="G70" s="111"/>
      <c r="H70" s="111"/>
      <c r="I70" s="106">
        <f>UNITCOST/MEDP</f>
        <v>23713.601235452337</v>
      </c>
      <c r="J70" s="111"/>
      <c r="K70" s="111"/>
      <c r="M70" s="99">
        <f>I68</f>
        <v>0.12</v>
      </c>
      <c r="N70" s="101" t="s">
        <v>20</v>
      </c>
      <c r="Q70" s="101" t="s">
        <v>74</v>
      </c>
    </row>
    <row r="71" spans="3:17" ht="15" customHeight="1">
      <c r="C71" s="101" t="s">
        <v>361</v>
      </c>
      <c r="G71" s="111"/>
      <c r="H71" s="111"/>
      <c r="I71" s="108">
        <f>UNITCOST/MEDY</f>
        <v>0.32708415497175636</v>
      </c>
      <c r="J71" s="111"/>
      <c r="K71" s="111"/>
      <c r="M71" s="99">
        <f>I41+I58</f>
        <v>9008.1607412714</v>
      </c>
      <c r="N71" s="101" t="s">
        <v>45</v>
      </c>
      <c r="Q71" s="101" t="s">
        <v>74</v>
      </c>
    </row>
    <row r="72" spans="7:17" ht="15" customHeight="1">
      <c r="G72" s="111"/>
      <c r="H72" s="111"/>
      <c r="I72" s="111"/>
      <c r="J72" s="111"/>
      <c r="K72" s="111"/>
      <c r="M72" s="101" t="s">
        <v>74</v>
      </c>
      <c r="Q72" s="101" t="s">
        <v>74</v>
      </c>
    </row>
    <row r="73" spans="7:17" ht="15" customHeight="1">
      <c r="G73" s="111"/>
      <c r="H73" s="111"/>
      <c r="I73" s="111"/>
      <c r="J73" s="111"/>
      <c r="K73" s="111"/>
      <c r="M73" s="101" t="s">
        <v>1</v>
      </c>
      <c r="Q73" s="101" t="s">
        <v>80</v>
      </c>
    </row>
    <row r="74" spans="7:17" ht="15" customHeight="1">
      <c r="G74" s="125"/>
      <c r="H74" s="111"/>
      <c r="I74" s="111"/>
      <c r="J74" s="111"/>
      <c r="K74" s="111"/>
      <c r="N74" s="101" t="s">
        <v>107</v>
      </c>
      <c r="Q74" s="101" t="s">
        <v>80</v>
      </c>
    </row>
    <row r="75" spans="1:17" ht="15" customHeight="1">
      <c r="A75" s="185" t="s">
        <v>122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M75" s="101" t="s">
        <v>1</v>
      </c>
      <c r="Q75" s="101" t="s">
        <v>80</v>
      </c>
    </row>
    <row r="76" spans="7:17" ht="15" customHeight="1">
      <c r="G76" s="110" t="s">
        <v>0</v>
      </c>
      <c r="H76" s="110"/>
      <c r="I76" s="111"/>
      <c r="J76" s="111"/>
      <c r="K76" s="111"/>
      <c r="M76" s="114">
        <f>0.04*M64+0.25*M65+0.42*M67+0.25*M68+0.04*M69</f>
        <v>43534.8</v>
      </c>
      <c r="N76" s="101" t="s">
        <v>18</v>
      </c>
      <c r="O76" s="101">
        <f>0.04*O64+0.25*O65+0.42*O67+0.25*O68+0.04*O69</f>
        <v>0.6</v>
      </c>
      <c r="P76" s="101" t="s">
        <v>17</v>
      </c>
      <c r="Q76" s="101" t="s">
        <v>80</v>
      </c>
    </row>
    <row r="77" spans="7:17" ht="15" customHeight="1">
      <c r="G77" s="111"/>
      <c r="H77" s="111"/>
      <c r="I77" s="111"/>
      <c r="J77" s="111"/>
      <c r="K77" s="111"/>
      <c r="M77" s="101">
        <f>0.25*(M64-M76)+0.5*(M65-M76)</f>
        <v>4432.649999999998</v>
      </c>
      <c r="N77" s="101" t="s">
        <v>43</v>
      </c>
      <c r="O77" s="101">
        <f>0.25*(O64-O76)+0.5*(O65-O76)</f>
        <v>0.060000000000000026</v>
      </c>
      <c r="P77" s="101" t="s">
        <v>35</v>
      </c>
      <c r="Q77" s="101" t="s">
        <v>80</v>
      </c>
    </row>
    <row r="78" spans="3:17" ht="15" customHeight="1">
      <c r="C78" s="101" t="s">
        <v>0</v>
      </c>
      <c r="D78" s="101" t="s">
        <v>121</v>
      </c>
      <c r="F78" s="101" t="s">
        <v>248</v>
      </c>
      <c r="G78" s="111"/>
      <c r="H78" s="108" t="s">
        <v>121</v>
      </c>
      <c r="I78" s="108" t="s">
        <v>0</v>
      </c>
      <c r="J78" s="131" t="s">
        <v>221</v>
      </c>
      <c r="K78" s="111"/>
      <c r="M78" s="101">
        <f>0.25*(M76-M69)+0.5*(M76-M68)</f>
        <v>4267.350000000002</v>
      </c>
      <c r="N78" s="101" t="s">
        <v>44</v>
      </c>
      <c r="O78" s="101">
        <f>0.25*(O76-O69)+0.5*(O76-O68)</f>
        <v>0.05999999999999997</v>
      </c>
      <c r="P78" s="101" t="s">
        <v>36</v>
      </c>
      <c r="Q78" s="101" t="s">
        <v>80</v>
      </c>
    </row>
    <row r="79" spans="3:17" ht="15" customHeight="1">
      <c r="C79" s="101" t="s">
        <v>93</v>
      </c>
      <c r="D79" s="101" t="s">
        <v>253</v>
      </c>
      <c r="F79" s="101" t="s">
        <v>170</v>
      </c>
      <c r="G79" s="111"/>
      <c r="H79" s="108" t="s">
        <v>195</v>
      </c>
      <c r="I79" s="108" t="s">
        <v>0</v>
      </c>
      <c r="J79" s="131" t="s">
        <v>205</v>
      </c>
      <c r="K79" s="111" t="s">
        <v>2</v>
      </c>
      <c r="M79" s="114">
        <f>M77^2</f>
        <v>19648386.022499982</v>
      </c>
      <c r="N79" s="101" t="s">
        <v>52</v>
      </c>
      <c r="O79" s="101">
        <f>O77^2</f>
        <v>0.003600000000000003</v>
      </c>
      <c r="P79" s="101" t="s">
        <v>46</v>
      </c>
      <c r="Q79" s="101" t="s">
        <v>80</v>
      </c>
    </row>
    <row r="80" spans="7:17" ht="15" customHeight="1">
      <c r="G80" s="111"/>
      <c r="H80" s="111"/>
      <c r="I80" s="111"/>
      <c r="J80" s="111"/>
      <c r="K80" s="111"/>
      <c r="M80" s="114">
        <f>M78^2</f>
        <v>18210276.02250002</v>
      </c>
      <c r="N80" s="101" t="s">
        <v>53</v>
      </c>
      <c r="O80" s="101">
        <f>O78^2</f>
        <v>0.0035999999999999964</v>
      </c>
      <c r="P80" s="101" t="s">
        <v>47</v>
      </c>
      <c r="Q80" s="101" t="s">
        <v>80</v>
      </c>
    </row>
    <row r="81" spans="3:17" ht="15" customHeight="1" thickBot="1">
      <c r="C81" s="114">
        <f>I13</f>
        <v>1</v>
      </c>
      <c r="D81" s="114">
        <f>MEDY</f>
        <v>43500</v>
      </c>
      <c r="F81" s="114">
        <f>MEDY*0.75</f>
        <v>32625</v>
      </c>
      <c r="G81" s="111"/>
      <c r="H81" s="108">
        <f>MEDP</f>
        <v>0.6</v>
      </c>
      <c r="I81" s="111"/>
      <c r="J81" s="169">
        <f>F81*O76</f>
        <v>19575</v>
      </c>
      <c r="K81" s="111"/>
      <c r="M81" s="101" t="s">
        <v>1</v>
      </c>
      <c r="Q81" s="101" t="s">
        <v>80</v>
      </c>
    </row>
    <row r="82" spans="7:17" ht="15" customHeight="1" thickTop="1">
      <c r="G82" s="111"/>
      <c r="H82" s="111"/>
      <c r="I82" s="111"/>
      <c r="J82" s="111"/>
      <c r="K82" s="111"/>
      <c r="M82" s="114">
        <f>(M76^2*O79)+(O76-M70)^2*M79</f>
        <v>11349991.859328002</v>
      </c>
      <c r="N82" s="114" t="s">
        <v>48</v>
      </c>
      <c r="O82" s="114">
        <f>(M76^2*O80)+(O76-M70)^2*M80</f>
        <v>11018651.315327998</v>
      </c>
      <c r="P82" s="101" t="s">
        <v>51</v>
      </c>
      <c r="Q82" s="101" t="s">
        <v>80</v>
      </c>
    </row>
    <row r="83" spans="7:17" ht="15" customHeight="1">
      <c r="G83" s="111"/>
      <c r="H83" s="111"/>
      <c r="I83" s="111"/>
      <c r="J83" s="111"/>
      <c r="K83" s="111"/>
      <c r="M83" s="114">
        <f>(M76^2*O79)+(O76-M70)^2*M80</f>
        <v>11018651.31532801</v>
      </c>
      <c r="N83" s="114" t="s">
        <v>49</v>
      </c>
      <c r="O83" s="114">
        <f>M76^2*O80+(O76-M70)^2*M79</f>
        <v>11349991.85932799</v>
      </c>
      <c r="P83" s="101" t="s">
        <v>50</v>
      </c>
      <c r="Q83" s="101" t="s">
        <v>80</v>
      </c>
    </row>
    <row r="84" spans="2:18" ht="15" customHeight="1" thickBot="1">
      <c r="B84" s="154"/>
      <c r="C84" s="154"/>
      <c r="D84" s="154"/>
      <c r="E84" s="154"/>
      <c r="F84" s="154"/>
      <c r="G84" s="155"/>
      <c r="H84" s="155"/>
      <c r="I84" s="155"/>
      <c r="J84" s="155"/>
      <c r="K84" s="155"/>
      <c r="M84" s="114">
        <f>SQRT(M82)</f>
        <v>3368.974897402473</v>
      </c>
      <c r="N84" s="114" t="s">
        <v>37</v>
      </c>
      <c r="O84" s="114">
        <f>SQRT(O82)</f>
        <v>3319.4353910458926</v>
      </c>
      <c r="P84" s="101" t="s">
        <v>40</v>
      </c>
      <c r="Q84" s="101" t="s">
        <v>80</v>
      </c>
      <c r="R84" s="101" t="s">
        <v>0</v>
      </c>
    </row>
    <row r="85" spans="7:17" ht="15" customHeight="1">
      <c r="G85" s="111"/>
      <c r="H85" s="111"/>
      <c r="I85" s="111"/>
      <c r="J85" s="111"/>
      <c r="K85" s="111"/>
      <c r="M85" s="114">
        <f>SQRT(M83)</f>
        <v>3319.4353910458944</v>
      </c>
      <c r="N85" s="114" t="s">
        <v>38</v>
      </c>
      <c r="O85" s="114">
        <f>SQRT(O83)</f>
        <v>3368.974897402471</v>
      </c>
      <c r="P85" s="101" t="s">
        <v>39</v>
      </c>
      <c r="Q85" s="101" t="s">
        <v>80</v>
      </c>
    </row>
    <row r="86" spans="7:43" ht="15" customHeight="1">
      <c r="G86" s="111"/>
      <c r="H86" s="111"/>
      <c r="I86" s="111"/>
      <c r="J86" s="111"/>
      <c r="K86" s="111"/>
      <c r="M86" s="114">
        <f>0.66*M84+0.17*M85+0.17*O85</f>
        <v>3360.5531813218545</v>
      </c>
      <c r="N86" s="114" t="s">
        <v>41</v>
      </c>
      <c r="O86" s="114">
        <f>0.66*O84+0.17*M85+0.17*O85</f>
        <v>3327.8571071265114</v>
      </c>
      <c r="P86" s="101" t="s">
        <v>42</v>
      </c>
      <c r="Q86" s="101" t="s">
        <v>80</v>
      </c>
      <c r="AQ86" s="101" t="s">
        <v>207</v>
      </c>
    </row>
    <row r="87" spans="1:17" ht="15" customHeight="1">
      <c r="A87" s="185" t="s">
        <v>4</v>
      </c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M87" s="101" t="s">
        <v>1</v>
      </c>
      <c r="Q87" s="101" t="s">
        <v>80</v>
      </c>
    </row>
    <row r="88" spans="7:17" ht="15" customHeight="1">
      <c r="G88" s="111"/>
      <c r="H88" s="111"/>
      <c r="I88" s="111"/>
      <c r="J88" s="111"/>
      <c r="K88" s="111"/>
      <c r="M88" s="101" t="s">
        <v>106</v>
      </c>
      <c r="Q88" s="101" t="s">
        <v>80</v>
      </c>
    </row>
    <row r="89" spans="3:17" ht="15" customHeight="1">
      <c r="C89" s="132"/>
      <c r="D89" s="159" t="s">
        <v>173</v>
      </c>
      <c r="E89" s="160"/>
      <c r="F89" s="160"/>
      <c r="G89" s="160"/>
      <c r="H89" s="161"/>
      <c r="I89" s="162"/>
      <c r="J89" s="111"/>
      <c r="K89" s="111"/>
      <c r="M89" s="101" t="s">
        <v>1</v>
      </c>
      <c r="Q89" s="101" t="s">
        <v>80</v>
      </c>
    </row>
    <row r="90" spans="3:17" ht="15" customHeight="1">
      <c r="C90" s="132"/>
      <c r="D90" s="163" t="s">
        <v>215</v>
      </c>
      <c r="E90" s="132"/>
      <c r="F90" s="132"/>
      <c r="G90" s="132"/>
      <c r="H90" s="111"/>
      <c r="I90" s="164"/>
      <c r="J90" s="111"/>
      <c r="K90" s="111"/>
      <c r="M90" s="114">
        <f>M84*M63</f>
        <v>3368.974897402473</v>
      </c>
      <c r="N90" s="101" t="s">
        <v>37</v>
      </c>
      <c r="O90" s="114">
        <f>O84*M63</f>
        <v>3319.4353910458926</v>
      </c>
      <c r="P90" s="101" t="s">
        <v>40</v>
      </c>
      <c r="Q90" s="101" t="s">
        <v>80</v>
      </c>
    </row>
    <row r="91" spans="3:17" ht="15" customHeight="1">
      <c r="C91" s="132"/>
      <c r="D91" s="165" t="s">
        <v>214</v>
      </c>
      <c r="E91" s="166"/>
      <c r="F91" s="166"/>
      <c r="G91" s="166"/>
      <c r="H91" s="167"/>
      <c r="I91" s="168"/>
      <c r="J91" s="111"/>
      <c r="K91" s="111"/>
      <c r="M91" s="114">
        <f>M85*M63</f>
        <v>3319.4353910458944</v>
      </c>
      <c r="N91" s="101" t="s">
        <v>38</v>
      </c>
      <c r="O91" s="114">
        <f>O85*M63</f>
        <v>3368.974897402471</v>
      </c>
      <c r="P91" s="101" t="s">
        <v>39</v>
      </c>
      <c r="Q91" s="101" t="s">
        <v>80</v>
      </c>
    </row>
    <row r="92" spans="7:17" ht="15" customHeight="1">
      <c r="G92" s="111"/>
      <c r="H92" s="111"/>
      <c r="I92" s="111"/>
      <c r="J92" s="111"/>
      <c r="K92" s="111" t="s">
        <v>0</v>
      </c>
      <c r="M92" s="114">
        <f>M63*M86</f>
        <v>3360.5531813218545</v>
      </c>
      <c r="N92" s="101" t="s">
        <v>41</v>
      </c>
      <c r="O92" s="114">
        <f>M63*O86</f>
        <v>3327.8571071265114</v>
      </c>
      <c r="P92" s="101" t="s">
        <v>42</v>
      </c>
      <c r="Q92" s="101" t="s">
        <v>80</v>
      </c>
    </row>
    <row r="93" spans="4:17" ht="15" customHeight="1">
      <c r="D93" s="122" t="s">
        <v>103</v>
      </c>
      <c r="E93" s="122" t="s">
        <v>348</v>
      </c>
      <c r="F93" s="122" t="s">
        <v>179</v>
      </c>
      <c r="G93" s="122" t="s">
        <v>19</v>
      </c>
      <c r="H93" s="122" t="s">
        <v>186</v>
      </c>
      <c r="I93" s="133" t="s">
        <v>349</v>
      </c>
      <c r="J93" s="122" t="s">
        <v>250</v>
      </c>
      <c r="K93" s="111"/>
      <c r="M93" s="99">
        <f>O67</f>
        <v>0.6</v>
      </c>
      <c r="N93" s="101" t="s">
        <v>24</v>
      </c>
      <c r="O93" s="101">
        <f>M67</f>
        <v>43500</v>
      </c>
      <c r="P93" s="101" t="s">
        <v>27</v>
      </c>
      <c r="Q93" s="101" t="s">
        <v>80</v>
      </c>
    </row>
    <row r="94" spans="4:17" ht="15" customHeight="1">
      <c r="D94" s="111"/>
      <c r="J94" s="111"/>
      <c r="K94" s="111"/>
      <c r="M94" s="114">
        <f>I13*M76*O76</f>
        <v>26120.88</v>
      </c>
      <c r="N94" s="101" t="s">
        <v>16</v>
      </c>
      <c r="O94" s="114">
        <f>(M71+M67*M70)*M63</f>
        <v>14228.1607412714</v>
      </c>
      <c r="P94" s="101" t="s">
        <v>25</v>
      </c>
      <c r="Q94" s="101" t="s">
        <v>80</v>
      </c>
    </row>
    <row r="95" spans="2:17" ht="15" customHeight="1">
      <c r="B95" s="101" t="s">
        <v>78</v>
      </c>
      <c r="D95" s="131">
        <f>O$95+1.5*M$92</f>
        <v>16933.549030711383</v>
      </c>
      <c r="E95" s="131">
        <f>(O95+M92)</f>
        <v>15253.272440050456</v>
      </c>
      <c r="F95" s="131">
        <f>O95+0.5*M92</f>
        <v>13572.995849389528</v>
      </c>
      <c r="G95" s="113">
        <f>O95</f>
        <v>11892.7192587286</v>
      </c>
      <c r="H95" s="134">
        <f>O95-0.5*O92</f>
        <v>10228.790705165346</v>
      </c>
      <c r="I95" s="134">
        <f>O95-O92</f>
        <v>8564.86215160209</v>
      </c>
      <c r="J95" s="134">
        <f>O95-1.5*O92</f>
        <v>6900.933598038833</v>
      </c>
      <c r="K95" s="111"/>
      <c r="M95" s="114">
        <f>M94+(0.7857*(O92-M92))</f>
        <v>26095.19069450472</v>
      </c>
      <c r="N95" s="101" t="s">
        <v>26</v>
      </c>
      <c r="O95" s="114">
        <f>M94-O94</f>
        <v>11892.7192587286</v>
      </c>
      <c r="P95" s="101" t="s">
        <v>14</v>
      </c>
      <c r="Q95" s="101" t="s">
        <v>80</v>
      </c>
    </row>
    <row r="96" spans="2:17" ht="15" customHeight="1">
      <c r="B96" s="101" t="s">
        <v>108</v>
      </c>
      <c r="D96" s="135">
        <f>IF(N99&lt;1,IF(M99,R99,1-R99),IF(M99,R100,1-R100))</f>
        <v>0.0672754441991228</v>
      </c>
      <c r="E96" s="135">
        <f>IF(T99&lt;1,IF(S99,X99,1-X99),IF(S99,X100,1-X100))</f>
        <v>0.15865155839626438</v>
      </c>
      <c r="F96" s="135">
        <f>IF(Z99&lt;1,IF(Y99,AD99,1-AD99),IF(Y99,AD100,1-AD100))</f>
        <v>0.3060929321099597</v>
      </c>
      <c r="G96" s="135">
        <f>IF(N101&lt;1,IF(M101,R101,1-R101),IF(M101,R102,1-R102))</f>
        <v>0.4969354425687378</v>
      </c>
      <c r="H96" s="136">
        <f>IF(T101&lt;1,IF(S101,X101,1-X101),IF(S101,X102,1-X102))</f>
        <v>0.6889868432710016</v>
      </c>
      <c r="I96" s="136">
        <f>IF(Z101&lt;1,IF(Y101,AD101,1-AD101),IF(Y101,AD102,1-AD102))</f>
        <v>0.8413408952427011</v>
      </c>
      <c r="J96" s="137">
        <f>IF(N103&lt;1,IF(M103,R103,1-R103),IF(M103,R104,1-R104))</f>
        <v>0.933665199066333</v>
      </c>
      <c r="K96" s="111" t="s">
        <v>0</v>
      </c>
      <c r="M96" s="114">
        <f>M95-O94</f>
        <v>11867.02995323332</v>
      </c>
      <c r="N96" s="101" t="s">
        <v>23</v>
      </c>
      <c r="O96" s="101">
        <f>O95-M96</f>
        <v>25.689305495281587</v>
      </c>
      <c r="P96" s="101" t="s">
        <v>15</v>
      </c>
      <c r="Q96" s="101" t="s">
        <v>80</v>
      </c>
    </row>
    <row r="97" spans="2:17" ht="15" customHeight="1">
      <c r="B97" s="101" t="s">
        <v>108</v>
      </c>
      <c r="D97" s="138">
        <f>IF(N99&lt;1,IF(M99,1-R99,R99),IF(M99,1-R100,R100))</f>
        <v>0.9327245558008772</v>
      </c>
      <c r="E97" s="138">
        <f>IF(T99&lt;1,IF(S99,1-X99,X99),IF(S99,1-X100,X100))</f>
        <v>0.8413484416037356</v>
      </c>
      <c r="F97" s="138">
        <f>IF(Z99&lt;1,IF(Y99,1-AD99,AD99),IF(Y99,1-AD100,AD100))</f>
        <v>0.6939070678900403</v>
      </c>
      <c r="G97" s="135">
        <f>IF(N101&lt;1,IF(M101,1-R101,R101),IF(M101,1-R102,R102))</f>
        <v>0.5030645574312622</v>
      </c>
      <c r="H97" s="135">
        <f>IF(T101&lt;1,IF(S101,1-X101,X101),IF(S101,1-X102,X102))</f>
        <v>0.3110131567289984</v>
      </c>
      <c r="I97" s="135">
        <f>IF(Z101&lt;1,IF(Y101,1-AD101,AD101),IF(Y101,1-AD102,AD102))</f>
        <v>0.158659104757299</v>
      </c>
      <c r="J97" s="135">
        <f>IF(N103&lt;1,IF(M103,1-R103,R103),IF(M103,1-R104,R104))</f>
        <v>0.06633480093366699</v>
      </c>
      <c r="K97" s="111"/>
      <c r="M97" s="101" t="s">
        <v>1</v>
      </c>
      <c r="Q97" s="101" t="s">
        <v>80</v>
      </c>
    </row>
    <row r="98" spans="4:11" ht="15" customHeight="1">
      <c r="D98" s="111"/>
      <c r="E98" s="111"/>
      <c r="F98" s="111"/>
      <c r="G98" s="111"/>
      <c r="H98" s="111"/>
      <c r="I98" s="111"/>
      <c r="J98" s="111"/>
      <c r="K98" s="111"/>
    </row>
    <row r="99" spans="2:30" ht="15" customHeight="1" thickBot="1">
      <c r="B99" s="121" t="s">
        <v>347</v>
      </c>
      <c r="D99" s="111"/>
      <c r="E99" s="208">
        <f>IF(T103&lt;1,IF(S103,X103,1-X103),IF(S103,X104,1-X104))</f>
        <v>0.9937903070841806</v>
      </c>
      <c r="F99" s="116" t="s">
        <v>346</v>
      </c>
      <c r="G99" s="111"/>
      <c r="H99" s="111"/>
      <c r="I99" s="111"/>
      <c r="J99" s="170">
        <f>M63*(G18*G19-I60)</f>
        <v>11871.839258728598</v>
      </c>
      <c r="K99" s="111"/>
      <c r="M99" s="99" t="b">
        <f>+D95&gt;=M96</f>
        <v>1</v>
      </c>
      <c r="N99" s="99">
        <f>ABS((D95-O95)/IF(M99,M92,O92))</f>
        <v>1.5000000000000002</v>
      </c>
      <c r="O99" s="99">
        <f>MIN(2.5,ABS((D95-(M96+O96*ABS(D95-M96)/ABS(IF(M99,M92+O96,O92-O96))*MIN(1,N99)))/(MIN(1.52,N99)/1.52*IF(M99,M90,O90)+(1.52-MIN(1.52,N99))/3.04*M91+(1.52-MIN(1.52,N99))/3.04*O91)))</f>
        <v>1.4926110123201315</v>
      </c>
      <c r="P99" s="99">
        <f aca="true" t="shared" si="2" ref="P99:P104">1/(1+(0.2316419*O99))</f>
        <v>0.7430793761958954</v>
      </c>
      <c r="Q99" s="99">
        <f aca="true" t="shared" si="3" ref="Q99:Q104">0.398942281*((2.71828)^((-(O99^2)/2)))</f>
        <v>0.13095760953856497</v>
      </c>
      <c r="R99" s="99">
        <f aca="true" t="shared" si="4" ref="R99:R104">Q99*(0.31938153*P99-0.356563782*P99^2+1.781477937*P99^3-1.821255978*P99^4+1.330274429*P99^5)</f>
        <v>0.06776959992544018</v>
      </c>
      <c r="S99" s="99" t="b">
        <f>+E95&gt;=M96</f>
        <v>1</v>
      </c>
      <c r="T99" s="99">
        <f>ABS((E95-O95)/IF(S99,M92,O92))</f>
        <v>1.0000000000000002</v>
      </c>
      <c r="U99" s="99">
        <f>MIN(2.5,ABS((E95-(M96+O96*ABS(E95-M96)/ABS(IF(S99,M92+O96,O92-O96))*MIN(1,T99)))/(MIN(1.52,T99)/1.52*IF(S99,M90,O90)+(1.52-MIN(1.52,T99))/3.04*M91+(1.52-MIN(1.52,T99))/3.04*O91)))</f>
        <v>1.0000155175815337</v>
      </c>
      <c r="V99" s="99">
        <f aca="true" t="shared" si="5" ref="V99:V104">1/(1+(0.2316419*U99))</f>
        <v>0.8119219405645957</v>
      </c>
      <c r="W99" s="99">
        <f aca="true" t="shared" si="6" ref="W99:W104">0.398942281*((2.71828)^((-(U99^2)/2)))</f>
        <v>0.24196705146415032</v>
      </c>
      <c r="X99" s="99">
        <f aca="true" t="shared" si="7" ref="X99:X104">W99*(0.31938153*V99-0.356563782*V99^2+1.781477937*V99^3-1.821255978*V99^4+1.330274429*V99^5)</f>
        <v>0.15865155839626438</v>
      </c>
      <c r="Y99" s="99" t="b">
        <f>+F95&gt;=M96</f>
        <v>1</v>
      </c>
      <c r="Z99" s="99">
        <f>ABS((F95-O95)/IF(Y99,M92,O92))</f>
        <v>0.5000000000000001</v>
      </c>
      <c r="AA99" s="99">
        <f>MIN(2.5,ABS((F95-(M96+O96*ABS(F95-M96)/ABS(IF(Y99,M92+O96,O92-O96))*MIN(1,Z99)))/(MIN(1.52,Z99)/1.52*IF(Y99,M90,O90)+(1.52-MIN(1.52,Z99))/3.04*M91+(1.52-MIN(1.52,Z99))/3.04*O91)))</f>
        <v>0.5069558015847556</v>
      </c>
      <c r="AB99" s="99">
        <f>1/(1+(0.2316419*AA99))</f>
        <v>0.8949088771921336</v>
      </c>
      <c r="AC99" s="99">
        <f>0.398942281*((2.71828)^((-(AA99^2)/2)))</f>
        <v>0.35083454877874687</v>
      </c>
      <c r="AD99" s="99">
        <f>AC99*(0.31938153*AB99-0.356563782*AB99^2+1.781477937*AB99^3-1.821255978*AB99^4+1.330274429*AB99^5)</f>
        <v>0.3060929321099597</v>
      </c>
    </row>
    <row r="100" spans="7:30" ht="15" customHeight="1" thickTop="1">
      <c r="G100" s="111"/>
      <c r="H100" s="111"/>
      <c r="I100" s="111"/>
      <c r="J100" s="111"/>
      <c r="K100" s="111"/>
      <c r="O100" s="99">
        <f>MIN(2.5,ABS((D95-O95)/(MIN(1.52,N99)/1.52*IF(M99,M90,O90)+(1.52-MIN(1.52,N99))/3.04*M91+(1.52-MIN(1.52,N99))/3.04*O91)))</f>
        <v>1.496395083759985</v>
      </c>
      <c r="P100" s="99">
        <f t="shared" si="2"/>
        <v>0.7425956895721266</v>
      </c>
      <c r="Q100" s="99">
        <f t="shared" si="3"/>
        <v>0.13021909487257421</v>
      </c>
      <c r="R100" s="99">
        <f t="shared" si="4"/>
        <v>0.0672754441991228</v>
      </c>
      <c r="U100" s="99">
        <f>MIN(2.5,ABS((E95-O95)/(MIN(1.52,T99)/1.52*IF(S99,M90,O90)+(1.52-MIN(1.52,T99))/3.04*M91+(1.52-MIN(1.52,T99))/3.04*O91)))</f>
        <v>1.0000155175815337</v>
      </c>
      <c r="V100" s="99">
        <f t="shared" si="5"/>
        <v>0.8119219405645957</v>
      </c>
      <c r="W100" s="99">
        <f t="shared" si="6"/>
        <v>0.24196705146415032</v>
      </c>
      <c r="X100" s="99">
        <f t="shared" si="7"/>
        <v>0.15865155839626438</v>
      </c>
      <c r="AA100" s="99">
        <f>MIN(2.5,ABS((F95-O95)/(MIN(1.52,Z99)/1.52*IF(Y99,M90,O90)+(1.52-MIN(1.52,Z99))/3.04*M91+(1.52-MIN(1.52,Z99))/3.04*O91)))</f>
        <v>0.5012230352463899</v>
      </c>
      <c r="AB100" s="99">
        <f>1/(1+(0.2316419*AA100))</f>
        <v>0.8959736462230834</v>
      </c>
      <c r="AC100" s="99">
        <f>0.398942281*((2.71828)^((-(AA100^2)/2)))</f>
        <v>0.3518498655327801</v>
      </c>
      <c r="AD100" s="99">
        <f>AC100*(0.31938153*AB100-0.356563782*AB100^2+1.781477937*AB100^3-1.821255978*AB100^4+1.330274429*AB100^5)</f>
        <v>0.3081071014819138</v>
      </c>
    </row>
    <row r="101" spans="7:30" ht="15" customHeight="1">
      <c r="G101" s="111"/>
      <c r="H101" s="111"/>
      <c r="I101" s="111"/>
      <c r="J101" s="111"/>
      <c r="K101" s="111"/>
      <c r="M101" s="99" t="b">
        <f>+G95&gt;=M96</f>
        <v>1</v>
      </c>
      <c r="N101" s="99">
        <f>ABS((G95-O95)/IF(M101,M92,O92))</f>
        <v>0</v>
      </c>
      <c r="O101" s="99">
        <f>MIN(2.5,ABS((G95-(M96+O96*ABS(G95-M96)/ABS(IF(M101,M92+O96,O92-O96))*MIN(1,N101)))/(MIN(1.52,N101)/1.52*IF(M101,M90,O90)+(1.52-MIN(1.52,N101))/3.04*M91+(1.52-MIN(1.52,N101))/3.04*O91)))</f>
        <v>0.007681737329915271</v>
      </c>
      <c r="P101" s="99">
        <f t="shared" si="2"/>
        <v>0.998223748453324</v>
      </c>
      <c r="Q101" s="99">
        <f t="shared" si="3"/>
        <v>0.3989305105713947</v>
      </c>
      <c r="R101" s="99">
        <f t="shared" si="4"/>
        <v>0.4969354425687378</v>
      </c>
      <c r="S101" s="99" t="b">
        <f>+H95&gt;=M96</f>
        <v>0</v>
      </c>
      <c r="T101" s="99">
        <f>ABS((H95-O95)/IF(S101,M92,O92))</f>
        <v>0.4999999999999999</v>
      </c>
      <c r="U101" s="99">
        <f>MIN(2.5,ABS((H95-(M96+O96*ABS(H95-M96)/ABS(IF(S101,M92+O96,O92-O96))*MIN(1,T101)))/(MIN(1.52,T101)/1.52*IF(S101,M90,O90)+(1.52-MIN(1.52,T101))/3.04*M91+(1.52-MIN(1.52,T101))/3.04*O91)))</f>
        <v>0.492980639606669</v>
      </c>
      <c r="V101" s="99">
        <f t="shared" si="5"/>
        <v>0.8975089864079195</v>
      </c>
      <c r="W101" s="99">
        <f t="shared" si="6"/>
        <v>0.3532944599944024</v>
      </c>
      <c r="X101" s="99">
        <f t="shared" si="7"/>
        <v>0.3110131567289984</v>
      </c>
      <c r="Y101" s="99" t="b">
        <f>+I95&gt;=M96</f>
        <v>0</v>
      </c>
      <c r="Z101" s="99">
        <f>ABS((I95-O95)/IF(Y101,M92,O92))</f>
        <v>0.9999999999999998</v>
      </c>
      <c r="AA101" s="99">
        <f>MIN(2.5,ABS((I95-(M96+O96*ABS(I95-M96)/ABS(IF(Y101,M92+O96,O92-O96))*MIN(1,Z101)))/(MIN(1.52,Z101)/1.52*IF(Y101,M90,O90)+(1.52-MIN(1.52,Z101))/3.04*M91+(1.52-MIN(1.52,Z101))/3.04*O91)))</f>
        <v>0.9999843304474918</v>
      </c>
      <c r="AB101" s="99">
        <f>1/(1+(0.2316419*AA101))</f>
        <v>0.8119267029406705</v>
      </c>
      <c r="AC101" s="99">
        <f>0.398942281*((2.71828)^((-(AA101^2)/2)))</f>
        <v>0.24197459783504283</v>
      </c>
      <c r="AD101" s="99">
        <f>AC101*(0.31938153*AB101-0.356563782*AB101^2+1.781477937*AB101^3-1.821255978*AB101^4+1.330274429*AB101^5)</f>
        <v>0.158659104757299</v>
      </c>
    </row>
    <row r="102" spans="1:30" ht="15" customHeight="1">
      <c r="A102" s="185" t="s">
        <v>315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O102" s="99">
        <f>MIN(2.5,ABS((G95-O95)/(MIN(1.52,N101)/1.52*IF(M101,M90,O90)+(1.52-MIN(1.52,N101))/3.04*M91+(1.52-MIN(1.52,N101))/3.04*O91)))</f>
        <v>0</v>
      </c>
      <c r="P102" s="99">
        <f t="shared" si="2"/>
        <v>1</v>
      </c>
      <c r="Q102" s="99">
        <f t="shared" si="3"/>
        <v>0.398942281</v>
      </c>
      <c r="R102" s="99">
        <f t="shared" si="4"/>
        <v>0.5000000002253843</v>
      </c>
      <c r="U102" s="99">
        <f>MIN(2.5,ABS((H95-O95)/(MIN(1.52,T101)/1.52*IF(S101,M90,O90)+(1.52-MIN(1.52,T101))/3.04*M91+(1.52-MIN(1.52,T101))/3.04*O91)))</f>
        <v>0.49877099050108503</v>
      </c>
      <c r="V102" s="99">
        <f t="shared" si="5"/>
        <v>0.8964298480854054</v>
      </c>
      <c r="W102" s="99">
        <f t="shared" si="6"/>
        <v>0.35228150301520544</v>
      </c>
      <c r="X102" s="99">
        <f t="shared" si="7"/>
        <v>0.3089703836851582</v>
      </c>
      <c r="AA102" s="99">
        <f>MIN(2.5,ABS((I95-O95)/(MIN(1.52,Z101)/1.52*IF(Y101,M90,O90)+(1.52-MIN(1.52,Z101))/3.04*M91+(1.52-MIN(1.52,Z101))/3.04*O91)))</f>
        <v>0.9999843304474918</v>
      </c>
      <c r="AB102" s="99">
        <f>1/(1+(0.2316419*AA102))</f>
        <v>0.8119267029406705</v>
      </c>
      <c r="AC102" s="99">
        <f>0.398942281*((2.71828)^((-(AA102^2)/2)))</f>
        <v>0.24197459783504283</v>
      </c>
      <c r="AD102" s="99">
        <f>AC102*(0.31938153*AB102-0.356563782*AB102^2+1.781477937*AB102^3-1.821255978*AB102^4+1.330274429*AB102^5)</f>
        <v>0.158659104757299</v>
      </c>
    </row>
    <row r="103" spans="13:24" ht="12.75">
      <c r="M103" s="99" t="b">
        <f>+J95&gt;=M96</f>
        <v>0</v>
      </c>
      <c r="N103" s="99">
        <f>ABS((J95-O95)/IF(M103,M92,O92))</f>
        <v>1.5000000000000002</v>
      </c>
      <c r="O103" s="99">
        <f>MIN(2.5,ABS((J95-(M96+O96*ABS(J95-M96)/ABS(IF(M103,M92+O96,O92-O96))*MIN(1,N103)))/(MIN(1.52,N103)/1.52*IF(M103,M90,O90)+(1.52-MIN(1.52,N103))/3.04*M91+(1.52-MIN(1.52,N103))/3.04*O91)))</f>
        <v>1.5075572528134944</v>
      </c>
      <c r="P103" s="99">
        <f t="shared" si="2"/>
        <v>0.7411725828046731</v>
      </c>
      <c r="Q103" s="99">
        <f t="shared" si="3"/>
        <v>0.12805413144055938</v>
      </c>
      <c r="R103" s="99">
        <f t="shared" si="4"/>
        <v>0.06583401587731416</v>
      </c>
      <c r="S103" s="99" t="b">
        <f>0&gt;=M96</f>
        <v>0</v>
      </c>
      <c r="T103" s="99">
        <f>ABS((0-O95)/IF(S103,M92,O92))</f>
        <v>3.5736868729311366</v>
      </c>
      <c r="U103" s="99">
        <f>MIN(2.5,ABS((0-(M96+O96*ABS(0-M96)/ABS(IF(S103,M92+O96,O92-O96))*MIN(1,T103)))/(MIN(1.52,T103)/1.52*IF(S103,M90,O90)+(1.52-MIN(1.52,T103))/3.04*M91+(1.52-MIN(1.52,T103))/3.04*O91)))</f>
        <v>2.5</v>
      </c>
      <c r="V103" s="99">
        <f t="shared" si="5"/>
        <v>0.6332702121249398</v>
      </c>
      <c r="W103" s="99">
        <f t="shared" si="6"/>
        <v>0.017528337365090806</v>
      </c>
      <c r="X103" s="99">
        <f t="shared" si="7"/>
        <v>0.00620969291581936</v>
      </c>
    </row>
    <row r="104" spans="2:24" ht="12.75">
      <c r="B104" s="122"/>
      <c r="C104" s="122" t="s">
        <v>103</v>
      </c>
      <c r="D104" s="122" t="s">
        <v>313</v>
      </c>
      <c r="E104" s="122" t="s">
        <v>179</v>
      </c>
      <c r="F104" s="122" t="s">
        <v>120</v>
      </c>
      <c r="G104" s="122" t="s">
        <v>186</v>
      </c>
      <c r="H104" s="122" t="s">
        <v>186</v>
      </c>
      <c r="I104" s="122" t="s">
        <v>250</v>
      </c>
      <c r="J104" s="122" t="s">
        <v>357</v>
      </c>
      <c r="K104" s="115" t="s">
        <v>108</v>
      </c>
      <c r="O104" s="99">
        <f>MIN(2.5,ABS((J95-O95)/(MIN(1.52,N103)/1.52*IF(M103,M90,O90)+(1.52-MIN(1.52,N103))/3.04*M91+(1.52-MIN(1.52,N103))/3.04*O91)))</f>
        <v>1.5036580031766398</v>
      </c>
      <c r="P104" s="99">
        <f t="shared" si="2"/>
        <v>0.7416690924453877</v>
      </c>
      <c r="Q104" s="99">
        <f t="shared" si="3"/>
        <v>0.12880811449829224</v>
      </c>
      <c r="R104" s="99">
        <f t="shared" si="4"/>
        <v>0.06633480093366699</v>
      </c>
      <c r="U104" s="99">
        <f>MIN(2.5,ABS((0-O95)/(MIN(1.52,T103)/1.52*IF(S103,M90,O90)+(1.52-MIN(1.52,T103))/3.04*M91+(1.52-MIN(1.52,T103))/3.04*O91)))</f>
        <v>2.5</v>
      </c>
      <c r="V104" s="99">
        <f t="shared" si="5"/>
        <v>0.6332702121249398</v>
      </c>
      <c r="W104" s="99">
        <f t="shared" si="6"/>
        <v>0.017528337365090806</v>
      </c>
      <c r="X104" s="99">
        <f t="shared" si="7"/>
        <v>0.00620969291581936</v>
      </c>
    </row>
    <row r="105" spans="2:11" ht="12.75">
      <c r="B105" s="122" t="s">
        <v>359</v>
      </c>
      <c r="C105" s="122" t="s">
        <v>65</v>
      </c>
      <c r="D105" s="122" t="s">
        <v>65</v>
      </c>
      <c r="E105" s="122" t="s">
        <v>65</v>
      </c>
      <c r="F105" s="122">
        <f>MEDY*0.75</f>
        <v>32625</v>
      </c>
      <c r="G105" s="122" t="s">
        <v>65</v>
      </c>
      <c r="H105" s="122" t="s">
        <v>65</v>
      </c>
      <c r="I105" s="122" t="s">
        <v>65</v>
      </c>
      <c r="J105" s="122" t="s">
        <v>358</v>
      </c>
      <c r="K105" s="101" t="s">
        <v>314</v>
      </c>
    </row>
    <row r="106" spans="2:11" ht="12.75">
      <c r="B106" s="99">
        <v>0.48</v>
      </c>
      <c r="C106" s="140">
        <v>11252</v>
      </c>
      <c r="D106" s="140">
        <v>9724</v>
      </c>
      <c r="E106" s="140">
        <v>8196</v>
      </c>
      <c r="F106" s="140">
        <v>6669</v>
      </c>
      <c r="G106" s="140">
        <v>5151</v>
      </c>
      <c r="H106" s="140">
        <v>3633</v>
      </c>
      <c r="I106" s="140">
        <v>2115</v>
      </c>
      <c r="J106" s="134">
        <v>6652</v>
      </c>
      <c r="K106" s="141">
        <v>0.99</v>
      </c>
    </row>
    <row r="107" spans="2:12" ht="12.75">
      <c r="B107" s="99">
        <v>0.54</v>
      </c>
      <c r="C107" s="140">
        <v>14082</v>
      </c>
      <c r="D107" s="140">
        <v>12482</v>
      </c>
      <c r="E107" s="140">
        <v>10881</v>
      </c>
      <c r="F107" s="140">
        <v>9281</v>
      </c>
      <c r="G107" s="140">
        <v>7693</v>
      </c>
      <c r="H107" s="140">
        <v>6106</v>
      </c>
      <c r="I107" s="140">
        <v>4519</v>
      </c>
      <c r="J107" s="134">
        <v>9262</v>
      </c>
      <c r="K107" s="141">
        <v>0.99</v>
      </c>
      <c r="L107" s="101" t="s">
        <v>0</v>
      </c>
    </row>
    <row r="108" spans="2:11" ht="12.75">
      <c r="B108" s="98">
        <v>0.6</v>
      </c>
      <c r="C108" s="142">
        <v>16934</v>
      </c>
      <c r="D108" s="142">
        <v>15253</v>
      </c>
      <c r="E108" s="142">
        <v>13573</v>
      </c>
      <c r="F108" s="142">
        <v>11893</v>
      </c>
      <c r="G108" s="142">
        <v>10229</v>
      </c>
      <c r="H108" s="142">
        <v>8565</v>
      </c>
      <c r="I108" s="142">
        <v>6901</v>
      </c>
      <c r="J108" s="139">
        <v>11872</v>
      </c>
      <c r="K108" s="143">
        <v>0.99</v>
      </c>
    </row>
    <row r="109" spans="2:18" ht="12.75">
      <c r="B109" s="99">
        <v>0.66</v>
      </c>
      <c r="C109" s="140">
        <v>19804</v>
      </c>
      <c r="D109" s="130">
        <v>18038</v>
      </c>
      <c r="E109" s="103">
        <v>16271</v>
      </c>
      <c r="F109" s="140">
        <v>14505</v>
      </c>
      <c r="G109" s="140">
        <v>12758</v>
      </c>
      <c r="H109" s="140">
        <v>11011</v>
      </c>
      <c r="I109" s="140">
        <v>9265</v>
      </c>
      <c r="J109" s="134">
        <v>14482</v>
      </c>
      <c r="K109" s="141">
        <v>0.99</v>
      </c>
      <c r="N109" s="108"/>
      <c r="O109" s="108"/>
      <c r="P109" s="109"/>
      <c r="Q109" s="108"/>
      <c r="R109" s="108"/>
    </row>
    <row r="110" spans="1:11" ht="12.75">
      <c r="A110" s="101" t="s">
        <v>81</v>
      </c>
      <c r="B110" s="99">
        <v>0.72</v>
      </c>
      <c r="C110" s="140">
        <v>22691</v>
      </c>
      <c r="D110" s="103">
        <v>20833</v>
      </c>
      <c r="E110" s="103">
        <v>18975</v>
      </c>
      <c r="F110" s="140">
        <v>17117</v>
      </c>
      <c r="G110" s="103">
        <v>15282</v>
      </c>
      <c r="H110" s="140">
        <v>13447</v>
      </c>
      <c r="I110" s="140">
        <v>11612</v>
      </c>
      <c r="J110" s="131">
        <v>17092</v>
      </c>
      <c r="K110" s="141">
        <v>0.99</v>
      </c>
    </row>
    <row r="111" spans="13:17" ht="12.75">
      <c r="M111" s="108"/>
      <c r="N111" s="108"/>
      <c r="O111" s="133"/>
      <c r="P111" s="108"/>
      <c r="Q111" s="108"/>
    </row>
    <row r="113" spans="2:11" ht="12.75">
      <c r="B113" s="98" t="s">
        <v>342</v>
      </c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2:11" ht="12.75">
      <c r="B114" s="99" t="s">
        <v>343</v>
      </c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2:11" ht="12.75">
      <c r="B115" s="99" t="s">
        <v>344</v>
      </c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2:11" ht="12.75">
      <c r="B116" s="99" t="s">
        <v>345</v>
      </c>
      <c r="C116" s="99"/>
      <c r="D116" s="99"/>
      <c r="E116" s="99"/>
      <c r="F116" s="99"/>
      <c r="G116" s="99"/>
      <c r="H116" s="99"/>
      <c r="I116" s="99"/>
      <c r="J116" s="99"/>
      <c r="K116" s="99"/>
    </row>
    <row r="117" ht="12.75">
      <c r="A117" s="101" t="s">
        <v>2</v>
      </c>
    </row>
    <row r="118" ht="12.75">
      <c r="A118" s="101" t="s">
        <v>2</v>
      </c>
    </row>
    <row r="119" ht="12.75">
      <c r="A119" s="101" t="s">
        <v>2</v>
      </c>
    </row>
    <row r="120" ht="12.75">
      <c r="A120" s="101" t="s">
        <v>2</v>
      </c>
    </row>
    <row r="121" spans="2:10" ht="12.75">
      <c r="B121" s="144"/>
      <c r="C121" s="144"/>
      <c r="D121" s="144"/>
      <c r="E121" s="144"/>
      <c r="F121" s="144"/>
      <c r="G121" s="144"/>
      <c r="H121" s="144"/>
      <c r="I121" s="144"/>
      <c r="J121" s="145"/>
    </row>
    <row r="122" spans="2:10" ht="12.75">
      <c r="B122" s="184"/>
      <c r="C122" s="184"/>
      <c r="D122" s="184"/>
      <c r="E122" s="184"/>
      <c r="F122" s="184"/>
      <c r="G122" s="184"/>
      <c r="H122" s="184"/>
      <c r="I122" s="184"/>
      <c r="J122" s="184"/>
    </row>
    <row r="123" spans="2:10" ht="12.75">
      <c r="B123" s="184"/>
      <c r="C123" s="184"/>
      <c r="D123" s="184"/>
      <c r="E123" s="184"/>
      <c r="F123" s="184"/>
      <c r="G123" s="184"/>
      <c r="H123" s="184"/>
      <c r="I123" s="184"/>
      <c r="J123" s="184"/>
    </row>
    <row r="134" spans="2:9" ht="12.75">
      <c r="B134" s="104"/>
      <c r="C134" s="104"/>
      <c r="D134" s="104"/>
      <c r="E134" s="110"/>
      <c r="F134" s="110"/>
      <c r="G134" s="110"/>
      <c r="H134" s="109"/>
      <c r="I134" s="109"/>
    </row>
    <row r="135" spans="5:9" ht="12.75">
      <c r="E135" s="111"/>
      <c r="F135" s="111"/>
      <c r="G135" s="111"/>
      <c r="H135" s="111"/>
      <c r="I135" s="111"/>
    </row>
    <row r="136" spans="5:9" ht="12.75">
      <c r="E136" s="105"/>
      <c r="F136" s="105"/>
      <c r="G136" s="106"/>
      <c r="H136" s="105"/>
      <c r="I136" s="105"/>
    </row>
    <row r="137" spans="5:9" ht="12.75">
      <c r="E137" s="108"/>
      <c r="F137" s="108"/>
      <c r="G137" s="109"/>
      <c r="H137" s="108"/>
      <c r="I137" s="108"/>
    </row>
  </sheetData>
  <sheetProtection/>
  <mergeCells count="9">
    <mergeCell ref="B2:L2"/>
    <mergeCell ref="B3:L3"/>
    <mergeCell ref="B5:L5"/>
    <mergeCell ref="B122:J122"/>
    <mergeCell ref="B123:J123"/>
    <mergeCell ref="A75:K75"/>
    <mergeCell ref="A87:K87"/>
    <mergeCell ref="A10:K10"/>
    <mergeCell ref="A102:L102"/>
  </mergeCells>
  <printOptions/>
  <pageMargins left="0.26" right="0.19" top="0.49" bottom="0.49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48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.75">
      <c r="B2" s="89" t="s">
        <v>332</v>
      </c>
      <c r="D2" s="59"/>
    </row>
    <row r="4" spans="1:9" ht="15.75">
      <c r="A4" s="179" t="s">
        <v>275</v>
      </c>
      <c r="B4" s="181"/>
      <c r="C4" s="181"/>
      <c r="D4" s="181"/>
      <c r="E4" s="181"/>
      <c r="F4" s="181"/>
      <c r="G4" s="181"/>
      <c r="H4" s="181"/>
      <c r="I4" s="181"/>
    </row>
    <row r="5" spans="2:8" ht="15.75">
      <c r="B5" s="187" t="s">
        <v>354</v>
      </c>
      <c r="C5" s="188"/>
      <c r="D5" s="188"/>
      <c r="E5" s="188"/>
      <c r="F5" s="188"/>
      <c r="G5" s="188"/>
      <c r="H5" s="188"/>
    </row>
    <row r="8" spans="2:8" ht="12.75">
      <c r="B8" s="19" t="s">
        <v>158</v>
      </c>
      <c r="C8" s="19"/>
      <c r="D8" s="19"/>
      <c r="E8" s="19" t="s">
        <v>242</v>
      </c>
      <c r="F8" s="19" t="s">
        <v>199</v>
      </c>
      <c r="G8" s="10" t="s">
        <v>195</v>
      </c>
      <c r="H8" s="9" t="s">
        <v>94</v>
      </c>
    </row>
    <row r="10" spans="2:8" ht="12.75">
      <c r="B10" s="36" t="s">
        <v>178</v>
      </c>
      <c r="C10" s="36"/>
      <c r="D10" s="40"/>
      <c r="E10" s="40"/>
      <c r="F10" s="40"/>
      <c r="G10" s="40"/>
      <c r="H10" s="40"/>
    </row>
    <row r="11" spans="2:8" ht="12.75">
      <c r="B11" s="40" t="s">
        <v>263</v>
      </c>
      <c r="C11" s="40"/>
      <c r="D11" s="40"/>
      <c r="E11" s="41" t="s">
        <v>91</v>
      </c>
      <c r="F11" s="42">
        <v>1</v>
      </c>
      <c r="G11" s="42">
        <v>500</v>
      </c>
      <c r="H11" s="42">
        <f aca="true" t="shared" si="0" ref="H11:H26">F11*G11</f>
        <v>500</v>
      </c>
    </row>
    <row r="12" spans="2:8" ht="12.75">
      <c r="B12" s="40" t="s">
        <v>165</v>
      </c>
      <c r="C12" s="40"/>
      <c r="D12" s="40"/>
      <c r="E12" s="41" t="s">
        <v>219</v>
      </c>
      <c r="F12" s="42">
        <v>1</v>
      </c>
      <c r="G12" s="42">
        <v>30</v>
      </c>
      <c r="H12" s="42">
        <f t="shared" si="0"/>
        <v>30</v>
      </c>
    </row>
    <row r="13" spans="2:8" ht="12.75">
      <c r="B13" s="40" t="s">
        <v>124</v>
      </c>
      <c r="C13" s="40"/>
      <c r="D13" s="40"/>
      <c r="E13" s="41" t="s">
        <v>91</v>
      </c>
      <c r="F13" s="42">
        <v>730</v>
      </c>
      <c r="G13" s="42">
        <v>0.3</v>
      </c>
      <c r="H13" s="42">
        <f t="shared" si="0"/>
        <v>219</v>
      </c>
    </row>
    <row r="14" spans="2:8" ht="12.75">
      <c r="B14" s="40" t="s">
        <v>291</v>
      </c>
      <c r="C14" s="40"/>
      <c r="D14" s="40"/>
      <c r="E14" s="41" t="s">
        <v>91</v>
      </c>
      <c r="F14" s="42">
        <v>2</v>
      </c>
      <c r="G14" s="42">
        <v>40</v>
      </c>
      <c r="H14" s="42">
        <f t="shared" si="0"/>
        <v>80</v>
      </c>
    </row>
    <row r="15" spans="2:8" ht="12.75">
      <c r="B15" s="40" t="s">
        <v>292</v>
      </c>
      <c r="C15" s="40"/>
      <c r="D15" s="40"/>
      <c r="E15" s="41" t="s">
        <v>91</v>
      </c>
      <c r="F15" s="42">
        <v>2</v>
      </c>
      <c r="G15" s="42">
        <v>10</v>
      </c>
      <c r="H15" s="42">
        <f t="shared" si="0"/>
        <v>20</v>
      </c>
    </row>
    <row r="16" spans="2:8" ht="12.75">
      <c r="B16" s="40" t="s">
        <v>147</v>
      </c>
      <c r="C16" s="40"/>
      <c r="D16" s="40"/>
      <c r="E16" s="41" t="s">
        <v>91</v>
      </c>
      <c r="F16" s="42">
        <v>4</v>
      </c>
      <c r="G16" s="42">
        <f>15</f>
        <v>15</v>
      </c>
      <c r="H16" s="42">
        <f t="shared" si="0"/>
        <v>60</v>
      </c>
    </row>
    <row r="17" spans="2:8" ht="12.75">
      <c r="B17" s="40" t="s">
        <v>134</v>
      </c>
      <c r="C17" s="40"/>
      <c r="D17" s="40"/>
      <c r="E17" s="41" t="s">
        <v>91</v>
      </c>
      <c r="F17" s="42">
        <v>0</v>
      </c>
      <c r="G17" s="42">
        <v>50</v>
      </c>
      <c r="H17" s="42">
        <f t="shared" si="0"/>
        <v>0</v>
      </c>
    </row>
    <row r="18" spans="2:8" ht="12.75">
      <c r="B18" s="40" t="s">
        <v>339</v>
      </c>
      <c r="C18" s="40"/>
      <c r="D18" s="40"/>
      <c r="E18" s="41" t="s">
        <v>238</v>
      </c>
      <c r="F18" s="42">
        <v>145</v>
      </c>
      <c r="G18" s="42">
        <v>15</v>
      </c>
      <c r="H18" s="42">
        <f t="shared" si="0"/>
        <v>2175</v>
      </c>
    </row>
    <row r="19" spans="2:8" ht="12.75">
      <c r="B19" s="40" t="s">
        <v>289</v>
      </c>
      <c r="C19" s="40"/>
      <c r="D19" s="40"/>
      <c r="E19" s="41" t="s">
        <v>91</v>
      </c>
      <c r="F19" s="42">
        <v>1</v>
      </c>
      <c r="G19" s="42">
        <v>75</v>
      </c>
      <c r="H19" s="42">
        <f t="shared" si="0"/>
        <v>75</v>
      </c>
    </row>
    <row r="20" spans="2:8" ht="12.75">
      <c r="B20" s="40" t="s">
        <v>298</v>
      </c>
      <c r="C20" s="40"/>
      <c r="D20" s="40"/>
      <c r="E20" s="41" t="s">
        <v>91</v>
      </c>
      <c r="F20" s="42">
        <v>1</v>
      </c>
      <c r="G20" s="42">
        <v>35</v>
      </c>
      <c r="H20" s="42">
        <f t="shared" si="0"/>
        <v>35</v>
      </c>
    </row>
    <row r="21" spans="2:8" ht="12.75">
      <c r="B21" s="40" t="s">
        <v>299</v>
      </c>
      <c r="C21" s="40"/>
      <c r="D21" s="40"/>
      <c r="E21" s="41" t="s">
        <v>91</v>
      </c>
      <c r="F21" s="42">
        <v>1</v>
      </c>
      <c r="G21" s="42">
        <v>6</v>
      </c>
      <c r="H21" s="42">
        <f t="shared" si="0"/>
        <v>6</v>
      </c>
    </row>
    <row r="22" spans="2:8" ht="12.75">
      <c r="B22" s="40" t="s">
        <v>159</v>
      </c>
      <c r="C22" s="40"/>
      <c r="D22" s="40"/>
      <c r="E22" s="41" t="s">
        <v>144</v>
      </c>
      <c r="F22" s="42">
        <v>70</v>
      </c>
      <c r="G22" s="42">
        <v>10</v>
      </c>
      <c r="H22" s="42">
        <f t="shared" si="0"/>
        <v>700</v>
      </c>
    </row>
    <row r="23" spans="2:8" ht="12.75">
      <c r="B23" s="40" t="s">
        <v>56</v>
      </c>
      <c r="C23" s="40"/>
      <c r="D23" s="40"/>
      <c r="E23" s="41" t="s">
        <v>91</v>
      </c>
      <c r="F23" s="42">
        <v>1</v>
      </c>
      <c r="G23" s="42">
        <f>'[1]Mach'!I16</f>
        <v>29.975172305764413</v>
      </c>
      <c r="H23" s="42">
        <f t="shared" si="0"/>
        <v>29.975172305764413</v>
      </c>
    </row>
    <row r="24" spans="2:8" ht="12.75">
      <c r="B24" s="40" t="s">
        <v>62</v>
      </c>
      <c r="C24" s="40"/>
      <c r="D24" s="40"/>
      <c r="E24" s="41" t="s">
        <v>91</v>
      </c>
      <c r="F24" s="42">
        <v>1</v>
      </c>
      <c r="G24" s="42">
        <v>37</v>
      </c>
      <c r="H24" s="42">
        <f t="shared" si="0"/>
        <v>37</v>
      </c>
    </row>
    <row r="25" spans="2:8" ht="12.75">
      <c r="B25" s="40" t="s">
        <v>300</v>
      </c>
      <c r="C25" s="40"/>
      <c r="D25" s="40"/>
      <c r="E25" s="41" t="s">
        <v>91</v>
      </c>
      <c r="F25" s="42">
        <v>5</v>
      </c>
      <c r="G25" s="42">
        <f>+Drip!I45</f>
        <v>220.6714</v>
      </c>
      <c r="H25" s="42">
        <f t="shared" si="0"/>
        <v>1103.357</v>
      </c>
    </row>
    <row r="26" spans="2:8" ht="12.75">
      <c r="B26" s="40" t="s">
        <v>153</v>
      </c>
      <c r="C26" s="40"/>
      <c r="D26" s="40"/>
      <c r="E26" s="41" t="s">
        <v>91</v>
      </c>
      <c r="F26" s="42">
        <f>SUM(H7:H24)</f>
        <v>3966.9751723057643</v>
      </c>
      <c r="G26" s="41">
        <v>0.065</v>
      </c>
      <c r="H26" s="42">
        <f t="shared" si="0"/>
        <v>257.8533861998747</v>
      </c>
    </row>
    <row r="27" spans="2:8" ht="13.5" thickBot="1">
      <c r="B27" s="36" t="s">
        <v>234</v>
      </c>
      <c r="C27" s="40"/>
      <c r="D27" s="40"/>
      <c r="E27" s="41" t="s">
        <v>65</v>
      </c>
      <c r="F27" s="41"/>
      <c r="G27" s="41"/>
      <c r="H27" s="55">
        <f>SUM(H12:H26)</f>
        <v>4828.185558505639</v>
      </c>
    </row>
    <row r="28" spans="2:8" ht="13.5" thickTop="1">
      <c r="B28" s="40"/>
      <c r="C28" s="40"/>
      <c r="D28" s="40"/>
      <c r="E28" s="41"/>
      <c r="F28" s="41"/>
      <c r="G28" s="41"/>
      <c r="H28" s="62"/>
    </row>
    <row r="29" spans="3:8" ht="12.75">
      <c r="C29" s="36"/>
      <c r="D29" s="40"/>
      <c r="E29" s="41"/>
      <c r="F29" s="41"/>
      <c r="G29" s="41"/>
      <c r="H29" s="41"/>
    </row>
    <row r="30" spans="2:8" ht="12.75">
      <c r="B30" s="54" t="s">
        <v>127</v>
      </c>
      <c r="C30" s="40"/>
      <c r="D30" s="40"/>
      <c r="E30" s="19" t="s">
        <v>242</v>
      </c>
      <c r="F30" s="19" t="s">
        <v>199</v>
      </c>
      <c r="G30" s="10" t="s">
        <v>195</v>
      </c>
      <c r="H30" s="9" t="s">
        <v>94</v>
      </c>
    </row>
    <row r="31" spans="2:8" ht="12.75">
      <c r="B31" s="40" t="s">
        <v>237</v>
      </c>
      <c r="C31" s="40"/>
      <c r="D31" s="40"/>
      <c r="E31" s="41" t="s">
        <v>65</v>
      </c>
      <c r="F31" s="42">
        <f>FxdCost!I26</f>
        <v>527.75052</v>
      </c>
      <c r="G31" s="42">
        <v>1</v>
      </c>
      <c r="H31" s="42">
        <f>F31*G31</f>
        <v>527.75052</v>
      </c>
    </row>
    <row r="32" spans="2:8" ht="12.75">
      <c r="B32" s="40" t="s">
        <v>169</v>
      </c>
      <c r="C32" s="40"/>
      <c r="D32" s="40"/>
      <c r="E32" s="41" t="s">
        <v>65</v>
      </c>
      <c r="F32" s="42">
        <f>H27</f>
        <v>4828.185558505639</v>
      </c>
      <c r="G32" s="42">
        <v>0.15</v>
      </c>
      <c r="H32" s="42">
        <f>F32*G32</f>
        <v>724.2278337758459</v>
      </c>
    </row>
    <row r="33" spans="2:8" ht="12.75">
      <c r="B33" s="40" t="s">
        <v>155</v>
      </c>
      <c r="C33" s="40"/>
      <c r="D33" s="40"/>
      <c r="E33" s="41" t="s">
        <v>91</v>
      </c>
      <c r="F33" s="41">
        <v>1</v>
      </c>
      <c r="G33" s="42">
        <f>Drip!I32</f>
        <v>1192.6529666666668</v>
      </c>
      <c r="H33" s="42">
        <f>F33*G33</f>
        <v>1192.6529666666668</v>
      </c>
    </row>
    <row r="34" spans="2:8" ht="13.5" thickBot="1">
      <c r="B34" s="36" t="s">
        <v>228</v>
      </c>
      <c r="C34" s="40"/>
      <c r="D34" s="40"/>
      <c r="E34" s="41"/>
      <c r="F34" s="41"/>
      <c r="G34" s="41"/>
      <c r="H34" s="55">
        <f>SUM(H31:H33)</f>
        <v>2444.6313204425123</v>
      </c>
    </row>
    <row r="35" spans="2:8" ht="13.5" thickTop="1">
      <c r="B35" s="40"/>
      <c r="C35" s="40"/>
      <c r="D35" s="40"/>
      <c r="E35" s="41"/>
      <c r="F35" s="41"/>
      <c r="G35" s="41"/>
      <c r="H35" s="62"/>
    </row>
    <row r="36" spans="2:8" ht="13.5" thickBot="1">
      <c r="B36" s="15" t="s">
        <v>227</v>
      </c>
      <c r="E36" s="7"/>
      <c r="F36" s="7"/>
      <c r="G36" s="7"/>
      <c r="H36" s="64">
        <f>H27+H34</f>
        <v>7272.8168789481515</v>
      </c>
    </row>
    <row r="37" ht="13.5" thickTop="1">
      <c r="H37" s="63"/>
    </row>
    <row r="40" ht="12.75">
      <c r="B40" s="1" t="s">
        <v>264</v>
      </c>
    </row>
    <row r="42" ht="12.75">
      <c r="A42" s="1" t="s">
        <v>81</v>
      </c>
    </row>
    <row r="43" ht="12.75"/>
    <row r="44" ht="12.75"/>
    <row r="45" ht="12.75"/>
    <row r="46" spans="2:10" ht="12.75">
      <c r="B46" s="90"/>
      <c r="C46" s="90"/>
      <c r="D46" s="90"/>
      <c r="E46" s="90"/>
      <c r="F46" s="90"/>
      <c r="G46" s="90"/>
      <c r="H46" s="90"/>
      <c r="I46" s="90"/>
      <c r="J46" s="91"/>
    </row>
    <row r="47" spans="2:10" ht="12.75">
      <c r="B47" s="189"/>
      <c r="C47" s="190"/>
      <c r="D47" s="190"/>
      <c r="E47" s="190"/>
      <c r="F47" s="190"/>
      <c r="G47" s="190"/>
      <c r="H47" s="190"/>
      <c r="I47" s="190"/>
      <c r="J47" s="191"/>
    </row>
    <row r="48" spans="2:10" ht="12.75">
      <c r="B48" s="192"/>
      <c r="C48" s="193"/>
      <c r="D48" s="193"/>
      <c r="E48" s="193"/>
      <c r="F48" s="193"/>
      <c r="G48" s="193"/>
      <c r="H48" s="193"/>
      <c r="I48" s="193"/>
      <c r="J48" s="194"/>
    </row>
  </sheetData>
  <sheetProtection/>
  <mergeCells count="4">
    <mergeCell ref="A4:I4"/>
    <mergeCell ref="B5:H5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J42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7.7109375" style="1" customWidth="1"/>
    <col min="8" max="16384" width="9.140625" style="1" customWidth="1"/>
  </cols>
  <sheetData>
    <row r="2" spans="2:3" ht="15.75">
      <c r="B2" s="89" t="s">
        <v>332</v>
      </c>
      <c r="C2" s="59"/>
    </row>
    <row r="4" spans="2:8" ht="15.75">
      <c r="B4" s="179" t="s">
        <v>274</v>
      </c>
      <c r="C4" s="195"/>
      <c r="D4" s="195"/>
      <c r="E4" s="195"/>
      <c r="F4" s="195"/>
      <c r="G4" s="195"/>
      <c r="H4" s="195"/>
    </row>
    <row r="5" spans="2:8" ht="15.75">
      <c r="B5" s="179"/>
      <c r="C5" s="195"/>
      <c r="D5" s="195"/>
      <c r="E5" s="195"/>
      <c r="F5" s="195"/>
      <c r="G5" s="195"/>
      <c r="H5" s="195"/>
    </row>
    <row r="7" spans="2:8" ht="12.75">
      <c r="B7" s="15" t="s">
        <v>178</v>
      </c>
      <c r="E7" s="15" t="s">
        <v>242</v>
      </c>
      <c r="F7" s="15" t="s">
        <v>199</v>
      </c>
      <c r="G7" s="26" t="s">
        <v>195</v>
      </c>
      <c r="H7" s="27" t="s">
        <v>94</v>
      </c>
    </row>
    <row r="9" spans="2:8" ht="12.75">
      <c r="B9" s="40" t="s">
        <v>124</v>
      </c>
      <c r="C9" s="40"/>
      <c r="D9" s="40"/>
      <c r="E9" s="41" t="s">
        <v>91</v>
      </c>
      <c r="F9" s="42">
        <v>219</v>
      </c>
      <c r="G9" s="42">
        <v>0.3</v>
      </c>
      <c r="H9" s="42">
        <f aca="true" t="shared" si="0" ref="H9:H23">F9*G9</f>
        <v>65.7</v>
      </c>
    </row>
    <row r="10" spans="2:8" ht="12.75">
      <c r="B10" s="40" t="s">
        <v>293</v>
      </c>
      <c r="C10" s="40"/>
      <c r="D10" s="40"/>
      <c r="E10" s="41" t="s">
        <v>91</v>
      </c>
      <c r="F10" s="42">
        <v>1</v>
      </c>
      <c r="G10" s="42">
        <v>10</v>
      </c>
      <c r="H10" s="42">
        <f t="shared" si="0"/>
        <v>10</v>
      </c>
    </row>
    <row r="11" spans="2:8" ht="12.75">
      <c r="B11" s="40" t="s">
        <v>294</v>
      </c>
      <c r="C11" s="40"/>
      <c r="D11" s="40"/>
      <c r="E11" s="41" t="s">
        <v>91</v>
      </c>
      <c r="F11" s="42">
        <v>2</v>
      </c>
      <c r="G11" s="42">
        <v>40</v>
      </c>
      <c r="H11" s="42">
        <f t="shared" si="0"/>
        <v>80</v>
      </c>
    </row>
    <row r="12" spans="2:8" ht="12.75">
      <c r="B12" s="40" t="s">
        <v>295</v>
      </c>
      <c r="C12" s="40"/>
      <c r="D12" s="40"/>
      <c r="E12" s="41" t="s">
        <v>91</v>
      </c>
      <c r="F12" s="42">
        <v>5</v>
      </c>
      <c r="G12" s="42">
        <v>10</v>
      </c>
      <c r="H12" s="42">
        <f t="shared" si="0"/>
        <v>50</v>
      </c>
    </row>
    <row r="13" spans="2:8" ht="12.75">
      <c r="B13" s="40" t="s">
        <v>147</v>
      </c>
      <c r="C13" s="40"/>
      <c r="D13" s="40"/>
      <c r="E13" s="41" t="s">
        <v>91</v>
      </c>
      <c r="F13" s="42">
        <v>4</v>
      </c>
      <c r="G13" s="42">
        <f>15</f>
        <v>15</v>
      </c>
      <c r="H13" s="42">
        <f t="shared" si="0"/>
        <v>60</v>
      </c>
    </row>
    <row r="14" spans="2:8" ht="12.75">
      <c r="B14" s="40" t="s">
        <v>134</v>
      </c>
      <c r="C14" s="40"/>
      <c r="D14" s="40"/>
      <c r="E14" s="41" t="s">
        <v>91</v>
      </c>
      <c r="F14" s="42">
        <v>0</v>
      </c>
      <c r="G14" s="42">
        <v>50</v>
      </c>
      <c r="H14" s="42">
        <f t="shared" si="0"/>
        <v>0</v>
      </c>
    </row>
    <row r="15" spans="2:8" ht="12.75">
      <c r="B15" s="40" t="s">
        <v>337</v>
      </c>
      <c r="C15" s="40"/>
      <c r="D15" s="40"/>
      <c r="E15" s="41" t="s">
        <v>238</v>
      </c>
      <c r="F15" s="42">
        <v>5</v>
      </c>
      <c r="G15" s="42">
        <v>15</v>
      </c>
      <c r="H15" s="42">
        <f t="shared" si="0"/>
        <v>75</v>
      </c>
    </row>
    <row r="16" spans="2:8" ht="12.75">
      <c r="B16" s="40" t="s">
        <v>296</v>
      </c>
      <c r="C16" s="40"/>
      <c r="D16" s="40"/>
      <c r="E16" s="41" t="s">
        <v>91</v>
      </c>
      <c r="F16" s="42">
        <v>1</v>
      </c>
      <c r="G16" s="42">
        <v>35</v>
      </c>
      <c r="H16" s="42">
        <f t="shared" si="0"/>
        <v>35</v>
      </c>
    </row>
    <row r="17" spans="2:8" ht="12.75">
      <c r="B17" s="40" t="s">
        <v>297</v>
      </c>
      <c r="C17" s="40"/>
      <c r="D17" s="40"/>
      <c r="E17" s="41" t="s">
        <v>91</v>
      </c>
      <c r="F17" s="42">
        <v>1</v>
      </c>
      <c r="G17" s="42">
        <v>6</v>
      </c>
      <c r="H17" s="42">
        <f t="shared" si="0"/>
        <v>6</v>
      </c>
    </row>
    <row r="18" spans="2:8" ht="12.75">
      <c r="B18" s="40" t="s">
        <v>289</v>
      </c>
      <c r="C18" s="40"/>
      <c r="D18" s="40"/>
      <c r="E18" s="41" t="s">
        <v>91</v>
      </c>
      <c r="F18" s="42">
        <v>1</v>
      </c>
      <c r="G18" s="42">
        <v>75</v>
      </c>
      <c r="H18" s="42">
        <f t="shared" si="0"/>
        <v>75</v>
      </c>
    </row>
    <row r="19" spans="2:8" ht="12.75">
      <c r="B19" s="40" t="s">
        <v>159</v>
      </c>
      <c r="C19" s="40"/>
      <c r="D19" s="40"/>
      <c r="E19" s="41" t="s">
        <v>144</v>
      </c>
      <c r="F19" s="42">
        <v>104</v>
      </c>
      <c r="G19" s="42">
        <v>10</v>
      </c>
      <c r="H19" s="42">
        <f t="shared" si="0"/>
        <v>1040</v>
      </c>
    </row>
    <row r="20" spans="2:8" ht="12.75">
      <c r="B20" s="40" t="s">
        <v>56</v>
      </c>
      <c r="C20" s="40"/>
      <c r="D20" s="40"/>
      <c r="E20" s="41" t="s">
        <v>91</v>
      </c>
      <c r="F20" s="42">
        <v>1</v>
      </c>
      <c r="G20" s="42">
        <v>29.98</v>
      </c>
      <c r="H20" s="42">
        <f t="shared" si="0"/>
        <v>29.98</v>
      </c>
    </row>
    <row r="21" spans="2:8" ht="12.75">
      <c r="B21" s="40" t="s">
        <v>62</v>
      </c>
      <c r="C21" s="40"/>
      <c r="D21" s="40"/>
      <c r="E21" s="41" t="s">
        <v>91</v>
      </c>
      <c r="F21" s="42">
        <v>1</v>
      </c>
      <c r="G21" s="42">
        <v>37</v>
      </c>
      <c r="H21" s="42">
        <f t="shared" si="0"/>
        <v>37</v>
      </c>
    </row>
    <row r="22" spans="2:8" ht="12.75">
      <c r="B22" s="40" t="s">
        <v>300</v>
      </c>
      <c r="C22" s="40"/>
      <c r="D22" s="40"/>
      <c r="E22" s="41" t="s">
        <v>91</v>
      </c>
      <c r="F22" s="42">
        <v>5</v>
      </c>
      <c r="G22" s="42">
        <f>+Drip!I45</f>
        <v>220.6714</v>
      </c>
      <c r="H22" s="42">
        <f t="shared" si="0"/>
        <v>1103.357</v>
      </c>
    </row>
    <row r="23" spans="2:8" ht="12.75">
      <c r="B23" s="40" t="s">
        <v>153</v>
      </c>
      <c r="C23" s="40"/>
      <c r="D23" s="40"/>
      <c r="E23" s="41" t="s">
        <v>91</v>
      </c>
      <c r="F23" s="42">
        <f>SUM(H6:H21)</f>
        <v>1563.68</v>
      </c>
      <c r="G23" s="41">
        <v>0.065</v>
      </c>
      <c r="H23" s="42">
        <f t="shared" si="0"/>
        <v>101.6392</v>
      </c>
    </row>
    <row r="24" spans="2:8" ht="13.5" thickBot="1">
      <c r="B24" s="36" t="s">
        <v>290</v>
      </c>
      <c r="C24" s="36"/>
      <c r="D24" s="36"/>
      <c r="E24" s="54" t="s">
        <v>65</v>
      </c>
      <c r="F24" s="55"/>
      <c r="G24" s="56"/>
      <c r="H24" s="55">
        <f>SUM(H9:H23)</f>
        <v>2768.6762000000003</v>
      </c>
    </row>
    <row r="25" spans="3:8" ht="13.5" thickTop="1">
      <c r="C25" s="40"/>
      <c r="D25" s="40"/>
      <c r="E25" s="41"/>
      <c r="F25" s="52"/>
      <c r="G25" s="53"/>
      <c r="H25" s="52"/>
    </row>
    <row r="27" spans="2:8" ht="12.75">
      <c r="B27" s="15" t="s">
        <v>127</v>
      </c>
      <c r="E27" s="15" t="s">
        <v>242</v>
      </c>
      <c r="F27" s="15" t="s">
        <v>199</v>
      </c>
      <c r="G27" s="26" t="s">
        <v>195</v>
      </c>
      <c r="H27" s="27" t="s">
        <v>94</v>
      </c>
    </row>
    <row r="29" spans="2:8" ht="12.75">
      <c r="B29" s="1" t="s">
        <v>237</v>
      </c>
      <c r="E29" s="40" t="s">
        <v>91</v>
      </c>
      <c r="F29" s="17">
        <v>1</v>
      </c>
      <c r="G29" s="17">
        <f>FxdCost!I26</f>
        <v>527.75052</v>
      </c>
      <c r="H29" s="17">
        <f>F29*G29</f>
        <v>527.75052</v>
      </c>
    </row>
    <row r="30" spans="2:8" ht="12.75">
      <c r="B30" s="1" t="s">
        <v>136</v>
      </c>
      <c r="E30" s="40" t="s">
        <v>91</v>
      </c>
      <c r="F30" s="17">
        <f>H24</f>
        <v>2768.6762000000003</v>
      </c>
      <c r="G30" s="17">
        <v>0.15</v>
      </c>
      <c r="H30" s="17">
        <f>F30*G30</f>
        <v>415.30143000000004</v>
      </c>
    </row>
    <row r="31" spans="2:8" ht="12.75">
      <c r="B31" s="1" t="s">
        <v>155</v>
      </c>
      <c r="E31" s="1" t="s">
        <v>91</v>
      </c>
      <c r="F31" s="17">
        <v>1</v>
      </c>
      <c r="G31" s="17">
        <f>Drip!I32</f>
        <v>1192.6529666666668</v>
      </c>
      <c r="H31" s="17">
        <f>F31*G31</f>
        <v>1192.6529666666668</v>
      </c>
    </row>
    <row r="32" spans="2:8" ht="13.5" thickBot="1">
      <c r="B32" s="36" t="s">
        <v>304</v>
      </c>
      <c r="H32" s="65">
        <f>SUM(H29:H31)</f>
        <v>2135.7049166666666</v>
      </c>
    </row>
    <row r="33" ht="13.5" thickTop="1">
      <c r="H33" s="63"/>
    </row>
    <row r="34" spans="2:8" ht="13.5" thickBot="1">
      <c r="B34" s="36" t="s">
        <v>303</v>
      </c>
      <c r="C34" s="36"/>
      <c r="D34" s="36"/>
      <c r="E34" s="36"/>
      <c r="F34" s="36"/>
      <c r="G34" s="36"/>
      <c r="H34" s="66">
        <f>H24+H32</f>
        <v>4904.381116666667</v>
      </c>
    </row>
    <row r="35" ht="13.5" thickTop="1">
      <c r="H35" s="63"/>
    </row>
    <row r="38" ht="12.75">
      <c r="A38" s="1" t="s">
        <v>81</v>
      </c>
    </row>
    <row r="39" ht="12.75"/>
    <row r="40" spans="2:10" ht="12.75">
      <c r="B40" s="92"/>
      <c r="C40" s="92"/>
      <c r="D40" s="92"/>
      <c r="E40" s="92"/>
      <c r="F40" s="92"/>
      <c r="G40" s="92"/>
      <c r="H40" s="92"/>
      <c r="I40" s="92"/>
      <c r="J40" s="93"/>
    </row>
    <row r="41" spans="2:10" ht="12.75">
      <c r="B41" s="196"/>
      <c r="C41" s="196"/>
      <c r="D41" s="196"/>
      <c r="E41" s="196"/>
      <c r="F41" s="196"/>
      <c r="G41" s="196"/>
      <c r="H41" s="196"/>
      <c r="I41" s="196"/>
      <c r="J41" s="196"/>
    </row>
    <row r="42" spans="2:10" ht="12.75">
      <c r="B42" s="196"/>
      <c r="C42" s="196"/>
      <c r="D42" s="196"/>
      <c r="E42" s="196"/>
      <c r="F42" s="196"/>
      <c r="G42" s="196"/>
      <c r="H42" s="196"/>
      <c r="I42" s="196"/>
      <c r="J42" s="196"/>
    </row>
  </sheetData>
  <sheetProtection/>
  <mergeCells count="4">
    <mergeCell ref="B4:H4"/>
    <mergeCell ref="B5:H5"/>
    <mergeCell ref="B41:J41"/>
    <mergeCell ref="B42:J4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8"/>
  <sheetViews>
    <sheetView zoomScalePageLayoutView="0" workbookViewId="0" topLeftCell="A1">
      <selection activeCell="L22" sqref="L22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.75">
      <c r="B2" s="89" t="s">
        <v>332</v>
      </c>
      <c r="E2" s="59"/>
    </row>
    <row r="4" spans="2:8" ht="15.75">
      <c r="B4" s="187" t="s">
        <v>355</v>
      </c>
      <c r="C4" s="195"/>
      <c r="D4" s="195"/>
      <c r="E4" s="195"/>
      <c r="F4" s="195"/>
      <c r="G4" s="195"/>
      <c r="H4" s="195"/>
    </row>
    <row r="5" spans="2:8" ht="15.75">
      <c r="B5" s="179"/>
      <c r="C5" s="195"/>
      <c r="D5" s="195"/>
      <c r="E5" s="195"/>
      <c r="F5" s="195"/>
      <c r="G5" s="195"/>
      <c r="H5" s="195"/>
    </row>
    <row r="7" spans="2:8" ht="12.75">
      <c r="B7" s="15" t="s">
        <v>158</v>
      </c>
      <c r="E7" s="15" t="s">
        <v>242</v>
      </c>
      <c r="F7" s="15" t="s">
        <v>199</v>
      </c>
      <c r="G7" s="26" t="s">
        <v>195</v>
      </c>
      <c r="H7" s="27" t="s">
        <v>94</v>
      </c>
    </row>
    <row r="9" ht="12.75">
      <c r="B9" s="15" t="s">
        <v>178</v>
      </c>
    </row>
    <row r="11" spans="2:8" ht="12.75">
      <c r="B11" s="40" t="s">
        <v>124</v>
      </c>
      <c r="C11" s="40"/>
      <c r="D11" s="40"/>
      <c r="E11" s="41" t="s">
        <v>91</v>
      </c>
      <c r="F11" s="78">
        <v>438</v>
      </c>
      <c r="G11" s="78">
        <v>0.3</v>
      </c>
      <c r="H11" s="78">
        <f aca="true" t="shared" si="0" ref="H11:H25">F11*G11</f>
        <v>131.4</v>
      </c>
    </row>
    <row r="12" spans="2:8" ht="12.75">
      <c r="B12" s="40" t="s">
        <v>293</v>
      </c>
      <c r="C12" s="40"/>
      <c r="D12" s="40"/>
      <c r="E12" s="41" t="s">
        <v>91</v>
      </c>
      <c r="F12" s="78">
        <v>2</v>
      </c>
      <c r="G12" s="78">
        <v>10</v>
      </c>
      <c r="H12" s="78">
        <f t="shared" si="0"/>
        <v>20</v>
      </c>
    </row>
    <row r="13" spans="2:8" ht="12.75">
      <c r="B13" s="40" t="s">
        <v>294</v>
      </c>
      <c r="C13" s="40"/>
      <c r="D13" s="40"/>
      <c r="E13" s="41" t="s">
        <v>91</v>
      </c>
      <c r="F13" s="78">
        <v>2</v>
      </c>
      <c r="G13" s="78">
        <v>40</v>
      </c>
      <c r="H13" s="78">
        <f t="shared" si="0"/>
        <v>80</v>
      </c>
    </row>
    <row r="14" spans="2:8" ht="12.75">
      <c r="B14" s="40" t="s">
        <v>295</v>
      </c>
      <c r="C14" s="40"/>
      <c r="D14" s="40"/>
      <c r="E14" s="41" t="s">
        <v>91</v>
      </c>
      <c r="F14" s="78">
        <v>5</v>
      </c>
      <c r="G14" s="78">
        <v>10</v>
      </c>
      <c r="H14" s="78">
        <f t="shared" si="0"/>
        <v>50</v>
      </c>
    </row>
    <row r="15" spans="2:8" ht="12.75">
      <c r="B15" s="40" t="s">
        <v>147</v>
      </c>
      <c r="C15" s="40"/>
      <c r="D15" s="40"/>
      <c r="E15" s="41" t="s">
        <v>91</v>
      </c>
      <c r="F15" s="78">
        <v>4</v>
      </c>
      <c r="G15" s="78">
        <f>15</f>
        <v>15</v>
      </c>
      <c r="H15" s="78">
        <f t="shared" si="0"/>
        <v>60</v>
      </c>
    </row>
    <row r="16" spans="2:8" ht="12.75">
      <c r="B16" s="40" t="s">
        <v>134</v>
      </c>
      <c r="C16" s="40"/>
      <c r="D16" s="40"/>
      <c r="E16" s="41" t="s">
        <v>91</v>
      </c>
      <c r="F16" s="78">
        <v>0</v>
      </c>
      <c r="G16" s="78">
        <v>50</v>
      </c>
      <c r="H16" s="78">
        <f t="shared" si="0"/>
        <v>0</v>
      </c>
    </row>
    <row r="17" spans="2:8" ht="12.75">
      <c r="B17" s="40" t="s">
        <v>340</v>
      </c>
      <c r="C17" s="40"/>
      <c r="D17" s="40"/>
      <c r="E17" s="41" t="s">
        <v>238</v>
      </c>
      <c r="F17" s="78">
        <v>5</v>
      </c>
      <c r="G17" s="78">
        <v>15</v>
      </c>
      <c r="H17" s="78">
        <f t="shared" si="0"/>
        <v>75</v>
      </c>
    </row>
    <row r="18" spans="2:8" ht="12.75">
      <c r="B18" s="40" t="s">
        <v>296</v>
      </c>
      <c r="C18" s="40"/>
      <c r="D18" s="40"/>
      <c r="E18" s="41" t="s">
        <v>91</v>
      </c>
      <c r="F18" s="78">
        <v>1</v>
      </c>
      <c r="G18" s="78">
        <v>35</v>
      </c>
      <c r="H18" s="78">
        <f t="shared" si="0"/>
        <v>35</v>
      </c>
    </row>
    <row r="19" spans="2:8" ht="12.75">
      <c r="B19" s="40" t="s">
        <v>297</v>
      </c>
      <c r="C19" s="40"/>
      <c r="D19" s="40"/>
      <c r="E19" s="41" t="s">
        <v>91</v>
      </c>
      <c r="F19" s="78">
        <v>1</v>
      </c>
      <c r="G19" s="78">
        <v>6</v>
      </c>
      <c r="H19" s="78">
        <f t="shared" si="0"/>
        <v>6</v>
      </c>
    </row>
    <row r="20" spans="2:8" ht="12.75">
      <c r="B20" s="40" t="s">
        <v>289</v>
      </c>
      <c r="C20" s="40"/>
      <c r="D20" s="40"/>
      <c r="E20" s="41" t="s">
        <v>91</v>
      </c>
      <c r="F20" s="78">
        <v>1</v>
      </c>
      <c r="G20" s="78">
        <v>75</v>
      </c>
      <c r="H20" s="78">
        <f t="shared" si="0"/>
        <v>75</v>
      </c>
    </row>
    <row r="21" spans="2:8" ht="12.75">
      <c r="B21" s="40" t="s">
        <v>159</v>
      </c>
      <c r="C21" s="40"/>
      <c r="D21" s="40"/>
      <c r="E21" s="41" t="s">
        <v>144</v>
      </c>
      <c r="F21" s="78">
        <v>200</v>
      </c>
      <c r="G21" s="78">
        <v>10</v>
      </c>
      <c r="H21" s="78">
        <f t="shared" si="0"/>
        <v>2000</v>
      </c>
    </row>
    <row r="22" spans="2:8" ht="12.75">
      <c r="B22" s="40" t="s">
        <v>56</v>
      </c>
      <c r="C22" s="40"/>
      <c r="D22" s="40"/>
      <c r="E22" s="41" t="s">
        <v>91</v>
      </c>
      <c r="F22" s="78">
        <v>1</v>
      </c>
      <c r="G22" s="78">
        <v>29.98</v>
      </c>
      <c r="H22" s="78">
        <f t="shared" si="0"/>
        <v>29.98</v>
      </c>
    </row>
    <row r="23" spans="2:8" ht="12.75">
      <c r="B23" s="40" t="s">
        <v>62</v>
      </c>
      <c r="C23" s="40"/>
      <c r="D23" s="40"/>
      <c r="E23" s="41" t="s">
        <v>91</v>
      </c>
      <c r="F23" s="78">
        <v>1</v>
      </c>
      <c r="G23" s="78">
        <v>37</v>
      </c>
      <c r="H23" s="78">
        <f t="shared" si="0"/>
        <v>37</v>
      </c>
    </row>
    <row r="24" spans="2:8" ht="12.75">
      <c r="B24" s="40" t="s">
        <v>300</v>
      </c>
      <c r="C24" s="40"/>
      <c r="D24" s="40"/>
      <c r="E24" s="41" t="s">
        <v>91</v>
      </c>
      <c r="F24" s="78">
        <v>5</v>
      </c>
      <c r="G24" s="78">
        <f>+Drip!I45</f>
        <v>220.6714</v>
      </c>
      <c r="H24" s="78">
        <f t="shared" si="0"/>
        <v>1103.357</v>
      </c>
    </row>
    <row r="25" spans="2:8" ht="12.75">
      <c r="B25" s="40" t="s">
        <v>153</v>
      </c>
      <c r="C25" s="40"/>
      <c r="D25" s="40"/>
      <c r="E25" s="41"/>
      <c r="F25" s="78">
        <f>SUM(H7:H23)</f>
        <v>2599.38</v>
      </c>
      <c r="G25" s="79">
        <v>0.065</v>
      </c>
      <c r="H25" s="78">
        <f t="shared" si="0"/>
        <v>168.95970000000003</v>
      </c>
    </row>
    <row r="26" spans="2:8" ht="13.5" thickBot="1">
      <c r="B26" s="36" t="s">
        <v>290</v>
      </c>
      <c r="C26" s="36"/>
      <c r="D26" s="36"/>
      <c r="E26" s="54"/>
      <c r="F26" s="57"/>
      <c r="G26" s="80"/>
      <c r="H26" s="57">
        <f>SUM(H11:H25)</f>
        <v>3871.6967</v>
      </c>
    </row>
    <row r="27" spans="3:8" ht="13.5" thickTop="1">
      <c r="C27" s="40"/>
      <c r="D27" s="40"/>
      <c r="E27" s="41"/>
      <c r="F27" s="52"/>
      <c r="G27" s="53"/>
      <c r="H27" s="52"/>
    </row>
    <row r="29" spans="2:8" ht="12.75">
      <c r="B29" s="19" t="s">
        <v>127</v>
      </c>
      <c r="C29" s="7"/>
      <c r="D29" s="7"/>
      <c r="E29" s="19" t="s">
        <v>242</v>
      </c>
      <c r="F29" s="19" t="s">
        <v>199</v>
      </c>
      <c r="G29" s="10" t="s">
        <v>195</v>
      </c>
      <c r="H29" s="9" t="s">
        <v>94</v>
      </c>
    </row>
    <row r="30" spans="5:7" ht="12.75">
      <c r="E30" s="7"/>
      <c r="F30" s="18"/>
      <c r="G30" s="18"/>
    </row>
    <row r="31" spans="2:8" ht="12.75">
      <c r="B31" s="1" t="s">
        <v>237</v>
      </c>
      <c r="E31" s="41" t="s">
        <v>91</v>
      </c>
      <c r="F31" s="32">
        <v>1</v>
      </c>
      <c r="G31" s="32">
        <f>+FxdCost!I26</f>
        <v>527.75052</v>
      </c>
      <c r="H31" s="17">
        <f>F31*G31</f>
        <v>527.75052</v>
      </c>
    </row>
    <row r="32" spans="2:8" ht="12.75">
      <c r="B32" s="1" t="s">
        <v>136</v>
      </c>
      <c r="E32" s="41" t="s">
        <v>91</v>
      </c>
      <c r="F32" s="32">
        <f>H26</f>
        <v>3871.6967</v>
      </c>
      <c r="G32" s="32">
        <v>0.15</v>
      </c>
      <c r="H32" s="17">
        <f>F32*G32</f>
        <v>580.754505</v>
      </c>
    </row>
    <row r="33" spans="2:8" ht="12.75">
      <c r="B33" s="1" t="s">
        <v>155</v>
      </c>
      <c r="E33" s="7" t="s">
        <v>91</v>
      </c>
      <c r="F33" s="32">
        <v>1</v>
      </c>
      <c r="G33" s="32">
        <f>+Drip!I32</f>
        <v>1192.6529666666668</v>
      </c>
      <c r="H33" s="17">
        <f>F33*G33</f>
        <v>1192.6529666666668</v>
      </c>
    </row>
    <row r="34" spans="2:8" ht="13.5" thickBot="1">
      <c r="B34" s="36" t="s">
        <v>302</v>
      </c>
      <c r="E34" s="41" t="s">
        <v>65</v>
      </c>
      <c r="H34" s="65">
        <f>SUM(H31:H33)</f>
        <v>2301.157991666667</v>
      </c>
    </row>
    <row r="35" spans="5:8" ht="13.5" thickTop="1">
      <c r="E35" s="7"/>
      <c r="H35" s="63"/>
    </row>
    <row r="36" spans="2:8" ht="13.5" thickBot="1">
      <c r="B36" s="36" t="s">
        <v>310</v>
      </c>
      <c r="C36" s="36"/>
      <c r="D36" s="36"/>
      <c r="E36" s="54" t="s">
        <v>65</v>
      </c>
      <c r="F36" s="36"/>
      <c r="G36" s="36"/>
      <c r="H36" s="66">
        <f>H26+H34</f>
        <v>6172.854691666667</v>
      </c>
    </row>
    <row r="37" ht="13.5" thickTop="1">
      <c r="H37" s="63"/>
    </row>
    <row r="41" spans="2:8" ht="15.75">
      <c r="B41" s="179"/>
      <c r="C41" s="195"/>
      <c r="D41" s="195"/>
      <c r="E41" s="195"/>
      <c r="F41" s="195"/>
      <c r="G41" s="195"/>
      <c r="H41" s="195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.75">
      <c r="B52" s="179" t="s">
        <v>320</v>
      </c>
      <c r="C52" s="195"/>
      <c r="D52" s="195"/>
      <c r="E52" s="195"/>
      <c r="F52" s="195"/>
      <c r="G52" s="195"/>
      <c r="H52" s="195"/>
    </row>
    <row r="54" ht="12.75">
      <c r="E54" s="1" t="s">
        <v>321</v>
      </c>
    </row>
    <row r="55" ht="12.75">
      <c r="E55" s="1" t="s">
        <v>322</v>
      </c>
    </row>
    <row r="56" spans="2:8" ht="12.75">
      <c r="B56" s="1" t="s">
        <v>323</v>
      </c>
      <c r="E56" s="1">
        <v>7</v>
      </c>
      <c r="F56" s="17">
        <f>(1+D56)^E56</f>
        <v>1</v>
      </c>
      <c r="G56" s="12">
        <f>'[2]Yr1'!H67</f>
        <v>0</v>
      </c>
      <c r="H56" s="12">
        <f aca="true" t="shared" si="1" ref="H56:H62">F56*G56</f>
        <v>0</v>
      </c>
    </row>
    <row r="57" spans="1:8" ht="12.75">
      <c r="A57" s="1" t="s">
        <v>81</v>
      </c>
      <c r="E57" s="1">
        <v>6</v>
      </c>
      <c r="F57" s="17">
        <f>(1+D56)^E57</f>
        <v>1</v>
      </c>
      <c r="G57" s="12">
        <f>'[2]Yr2'!H48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'[2]Yr2'!H48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v>0</v>
      </c>
      <c r="H59" s="12">
        <f t="shared" si="1"/>
        <v>0</v>
      </c>
    </row>
    <row r="60" spans="5:8" ht="12.75">
      <c r="E60" s="1">
        <v>3</v>
      </c>
      <c r="F60" s="17">
        <f>(1+D56)^E60</f>
        <v>1</v>
      </c>
      <c r="G60" s="12">
        <f>+H36</f>
        <v>6172.854691666667</v>
      </c>
      <c r="H60" s="12">
        <f t="shared" si="1"/>
        <v>6172.854691666667</v>
      </c>
    </row>
    <row r="61" spans="5:8" ht="12.75">
      <c r="E61" s="1">
        <v>2</v>
      </c>
      <c r="F61" s="17">
        <f>(1+D56)^E61</f>
        <v>1</v>
      </c>
      <c r="G61" s="12">
        <f>+Yr2!H34</f>
        <v>4904.381116666667</v>
      </c>
      <c r="H61" s="12">
        <f t="shared" si="1"/>
        <v>4904.381116666667</v>
      </c>
    </row>
    <row r="62" spans="5:8" ht="12.75">
      <c r="E62" s="1">
        <v>1</v>
      </c>
      <c r="F62" s="17">
        <f>(1+D56)^E62</f>
        <v>1</v>
      </c>
      <c r="G62" s="12">
        <f>+Yr1!H36</f>
        <v>7272.8168789481515</v>
      </c>
      <c r="H62" s="12">
        <f t="shared" si="1"/>
        <v>7272.8168789481515</v>
      </c>
    </row>
    <row r="63" spans="2:8" ht="13.5" thickBot="1">
      <c r="B63" s="15" t="s">
        <v>324</v>
      </c>
      <c r="H63" s="100">
        <f>SUM(H56:H62)</f>
        <v>18350.052687281488</v>
      </c>
    </row>
    <row r="64" spans="2:8" ht="13.5" thickTop="1">
      <c r="B64" s="1" t="s">
        <v>325</v>
      </c>
      <c r="H64" s="63"/>
    </row>
    <row r="65" spans="2:6" ht="12.75">
      <c r="B65" s="1" t="s">
        <v>326</v>
      </c>
      <c r="F65" s="1">
        <v>50</v>
      </c>
    </row>
    <row r="66" spans="2:6" ht="12.75">
      <c r="B66" s="1" t="s">
        <v>327</v>
      </c>
      <c r="F66" s="1">
        <v>0.065</v>
      </c>
    </row>
    <row r="67" spans="2:8" ht="13.5" thickBot="1">
      <c r="B67" s="15" t="s">
        <v>328</v>
      </c>
      <c r="E67" s="1" t="s">
        <v>329</v>
      </c>
      <c r="H67" s="100">
        <f>PMT(F66,F65,-H63)</f>
        <v>1246.2241112714005</v>
      </c>
    </row>
    <row r="68" ht="13.5" thickTop="1">
      <c r="H68" s="63"/>
    </row>
    <row r="73" ht="12.75"/>
    <row r="74" ht="12.75"/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58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76" t="s">
        <v>307</v>
      </c>
    </row>
    <row r="4" spans="3:8" ht="15.75">
      <c r="C4" s="197" t="s">
        <v>308</v>
      </c>
      <c r="D4" s="181"/>
      <c r="E4" s="181"/>
      <c r="F4" s="181"/>
      <c r="G4" s="181"/>
      <c r="H4" s="181"/>
    </row>
    <row r="7" spans="2:9" ht="12.75">
      <c r="B7" s="10" t="s">
        <v>157</v>
      </c>
      <c r="D7" s="26" t="s">
        <v>241</v>
      </c>
      <c r="E7" s="28" t="s">
        <v>200</v>
      </c>
      <c r="G7" s="28" t="s">
        <v>194</v>
      </c>
      <c r="I7" s="28" t="s">
        <v>95</v>
      </c>
    </row>
    <row r="8" spans="7:9" ht="12.75">
      <c r="G8" s="18"/>
      <c r="I8" s="18"/>
    </row>
    <row r="9" spans="2:9" ht="12.75">
      <c r="B9" s="36" t="s">
        <v>140</v>
      </c>
      <c r="D9" s="1" t="s">
        <v>101</v>
      </c>
      <c r="E9" s="1">
        <v>1</v>
      </c>
      <c r="G9" s="29">
        <v>0</v>
      </c>
      <c r="I9" s="29">
        <f>E9*G9</f>
        <v>0</v>
      </c>
    </row>
    <row r="10" spans="2:9" ht="12.75">
      <c r="B10" s="40" t="s">
        <v>265</v>
      </c>
      <c r="D10" s="40" t="s">
        <v>91</v>
      </c>
      <c r="E10" s="1">
        <v>1</v>
      </c>
      <c r="G10" s="29">
        <v>0</v>
      </c>
      <c r="I10" s="29">
        <f>E10*G10</f>
        <v>0</v>
      </c>
    </row>
    <row r="11" spans="2:9" ht="12.75">
      <c r="B11" s="40" t="s">
        <v>338</v>
      </c>
      <c r="D11" s="40" t="s">
        <v>91</v>
      </c>
      <c r="E11" s="1">
        <v>1</v>
      </c>
      <c r="G11" s="29">
        <v>0</v>
      </c>
      <c r="I11" s="29">
        <f>E11*G11</f>
        <v>0</v>
      </c>
    </row>
    <row r="12" spans="2:9" ht="13.5" thickBot="1">
      <c r="B12" s="36" t="s">
        <v>266</v>
      </c>
      <c r="C12" s="36"/>
      <c r="D12" s="36"/>
      <c r="E12" s="36"/>
      <c r="F12" s="36"/>
      <c r="G12" s="48">
        <v>0</v>
      </c>
      <c r="H12" s="36"/>
      <c r="I12" s="85">
        <f>SUM(I9:I11)</f>
        <v>0</v>
      </c>
    </row>
    <row r="13" spans="7:9" ht="13.5" thickTop="1">
      <c r="G13" s="29"/>
      <c r="I13" s="84"/>
    </row>
    <row r="14" spans="2:9" ht="12.75">
      <c r="B14" s="36" t="s">
        <v>147</v>
      </c>
      <c r="D14" s="1" t="s">
        <v>101</v>
      </c>
      <c r="E14" s="1">
        <v>1</v>
      </c>
      <c r="G14" s="29">
        <v>0</v>
      </c>
      <c r="I14" s="29">
        <v>0</v>
      </c>
    </row>
    <row r="15" spans="2:9" ht="12.75">
      <c r="B15" s="1" t="s">
        <v>146</v>
      </c>
      <c r="D15" s="1" t="s">
        <v>101</v>
      </c>
      <c r="E15" s="1">
        <v>1</v>
      </c>
      <c r="G15" s="29">
        <v>0</v>
      </c>
      <c r="I15" s="29"/>
    </row>
    <row r="16" spans="2:9" ht="12.75">
      <c r="B16" s="1" t="s">
        <v>146</v>
      </c>
      <c r="D16" s="1" t="s">
        <v>101</v>
      </c>
      <c r="E16" s="1">
        <v>1</v>
      </c>
      <c r="G16" s="29">
        <v>0</v>
      </c>
      <c r="I16" s="29">
        <f>E16*G16</f>
        <v>0</v>
      </c>
    </row>
    <row r="17" spans="2:9" ht="12.75">
      <c r="B17" s="1" t="s">
        <v>146</v>
      </c>
      <c r="D17" s="1" t="s">
        <v>101</v>
      </c>
      <c r="E17" s="1">
        <v>1</v>
      </c>
      <c r="G17" s="29">
        <v>0</v>
      </c>
      <c r="I17" s="29">
        <f>E17*G17</f>
        <v>0</v>
      </c>
    </row>
    <row r="18" spans="2:9" ht="12.75">
      <c r="B18" s="1" t="s">
        <v>146</v>
      </c>
      <c r="D18" s="1" t="s">
        <v>101</v>
      </c>
      <c r="E18" s="1">
        <v>1</v>
      </c>
      <c r="G18" s="29">
        <v>0</v>
      </c>
      <c r="I18" s="29">
        <f>E18*G18</f>
        <v>0</v>
      </c>
    </row>
    <row r="19" spans="2:9" ht="13.5" thickBot="1">
      <c r="B19" s="36" t="s">
        <v>220</v>
      </c>
      <c r="C19" s="36"/>
      <c r="D19" s="36"/>
      <c r="E19" s="36"/>
      <c r="F19" s="36"/>
      <c r="G19" s="48"/>
      <c r="H19" s="36"/>
      <c r="I19" s="85">
        <f>SUM(I14:I18)</f>
        <v>0</v>
      </c>
    </row>
    <row r="20" spans="7:9" ht="13.5" thickTop="1">
      <c r="G20" s="29"/>
      <c r="I20" s="84"/>
    </row>
    <row r="21" spans="2:9" ht="12.75">
      <c r="B21" s="36" t="s">
        <v>341</v>
      </c>
      <c r="D21" s="1" t="s">
        <v>101</v>
      </c>
      <c r="E21" s="1">
        <v>1</v>
      </c>
      <c r="G21" s="29">
        <v>0</v>
      </c>
      <c r="I21" s="29">
        <f aca="true" t="shared" si="0" ref="I21:I26">E21*G21</f>
        <v>0</v>
      </c>
    </row>
    <row r="22" spans="2:9" ht="12.75">
      <c r="B22" s="1" t="s">
        <v>133</v>
      </c>
      <c r="D22" s="1" t="s">
        <v>101</v>
      </c>
      <c r="E22" s="1">
        <v>1</v>
      </c>
      <c r="G22" s="29">
        <v>0</v>
      </c>
      <c r="I22" s="29">
        <f t="shared" si="0"/>
        <v>0</v>
      </c>
    </row>
    <row r="23" spans="2:9" ht="12.75">
      <c r="B23" s="1" t="s">
        <v>133</v>
      </c>
      <c r="D23" s="1" t="s">
        <v>101</v>
      </c>
      <c r="E23" s="1">
        <v>1</v>
      </c>
      <c r="G23" s="29">
        <v>0</v>
      </c>
      <c r="I23" s="29">
        <f t="shared" si="0"/>
        <v>0</v>
      </c>
    </row>
    <row r="24" spans="2:9" ht="12.75">
      <c r="B24" s="1" t="s">
        <v>133</v>
      </c>
      <c r="D24" s="1" t="s">
        <v>101</v>
      </c>
      <c r="E24" s="1">
        <v>1</v>
      </c>
      <c r="G24" s="29">
        <v>0</v>
      </c>
      <c r="I24" s="29">
        <f t="shared" si="0"/>
        <v>0</v>
      </c>
    </row>
    <row r="25" spans="2:9" ht="12.75">
      <c r="B25" s="1" t="s">
        <v>133</v>
      </c>
      <c r="D25" s="1" t="s">
        <v>101</v>
      </c>
      <c r="E25" s="1">
        <v>1</v>
      </c>
      <c r="G25" s="29">
        <v>0</v>
      </c>
      <c r="I25" s="29">
        <f t="shared" si="0"/>
        <v>0</v>
      </c>
    </row>
    <row r="26" spans="2:9" ht="12.75">
      <c r="B26" s="1" t="s">
        <v>133</v>
      </c>
      <c r="D26" s="1" t="s">
        <v>101</v>
      </c>
      <c r="E26" s="1">
        <v>1</v>
      </c>
      <c r="G26" s="29">
        <v>0</v>
      </c>
      <c r="I26" s="29">
        <f t="shared" si="0"/>
        <v>0</v>
      </c>
    </row>
    <row r="27" spans="2:9" ht="13.5" thickBot="1">
      <c r="B27" s="36" t="s">
        <v>220</v>
      </c>
      <c r="G27" s="29"/>
      <c r="I27" s="85">
        <f>SUM(I21:I26)</f>
        <v>0</v>
      </c>
    </row>
    <row r="28" spans="7:9" ht="13.5" thickTop="1">
      <c r="G28" s="29"/>
      <c r="I28" s="84"/>
    </row>
    <row r="29" spans="2:9" ht="12.75">
      <c r="B29" s="1" t="s">
        <v>180</v>
      </c>
      <c r="D29" s="1" t="s">
        <v>101</v>
      </c>
      <c r="E29" s="1">
        <v>1</v>
      </c>
      <c r="G29" s="29">
        <v>0</v>
      </c>
      <c r="I29" s="29">
        <f>E29*G29</f>
        <v>0</v>
      </c>
    </row>
    <row r="30" spans="2:9" ht="12.75">
      <c r="B30" s="1" t="s">
        <v>180</v>
      </c>
      <c r="D30" s="1" t="s">
        <v>101</v>
      </c>
      <c r="E30" s="1">
        <v>1</v>
      </c>
      <c r="G30" s="29">
        <v>0</v>
      </c>
      <c r="I30" s="29">
        <f>E30*G30</f>
        <v>0</v>
      </c>
    </row>
    <row r="31" spans="2:9" ht="12.75">
      <c r="B31" s="1" t="s">
        <v>180</v>
      </c>
      <c r="D31" s="1" t="s">
        <v>101</v>
      </c>
      <c r="E31" s="1">
        <v>1</v>
      </c>
      <c r="G31" s="29">
        <v>0</v>
      </c>
      <c r="I31" s="29">
        <f>E31*G31</f>
        <v>0</v>
      </c>
    </row>
    <row r="32" spans="2:9" ht="12.75">
      <c r="B32" s="1" t="s">
        <v>180</v>
      </c>
      <c r="D32" s="1" t="s">
        <v>101</v>
      </c>
      <c r="E32" s="1">
        <v>1</v>
      </c>
      <c r="G32" s="29">
        <v>0</v>
      </c>
      <c r="I32" s="29">
        <f>E32*G32</f>
        <v>0</v>
      </c>
    </row>
    <row r="33" spans="2:9" ht="12.75">
      <c r="B33" s="36" t="s">
        <v>266</v>
      </c>
      <c r="C33" s="36"/>
      <c r="D33" s="36"/>
      <c r="E33" s="36"/>
      <c r="F33" s="36"/>
      <c r="G33" s="48"/>
      <c r="H33" s="36"/>
      <c r="I33" s="48">
        <v>0</v>
      </c>
    </row>
    <row r="34" spans="2:9" ht="13.5" thickBot="1">
      <c r="B34" s="37" t="s">
        <v>267</v>
      </c>
      <c r="G34" s="29"/>
      <c r="I34" s="83">
        <f>I12+I19+I27+I33</f>
        <v>0</v>
      </c>
    </row>
    <row r="35" ht="13.5" thickTop="1">
      <c r="I35" s="82"/>
    </row>
    <row r="36" spans="1:9" ht="12.75">
      <c r="A36" s="1" t="s">
        <v>81</v>
      </c>
      <c r="I36" s="30"/>
    </row>
    <row r="37" ht="12.75">
      <c r="I37" s="30"/>
    </row>
    <row r="38" ht="12.75">
      <c r="I38" s="30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6"/>
      <c r="J39" s="95"/>
    </row>
    <row r="40" spans="9:11" ht="12.75">
      <c r="I40" s="30"/>
      <c r="K40" s="94"/>
    </row>
    <row r="41" spans="2:11" ht="12.75">
      <c r="B41" s="92"/>
      <c r="C41" s="92"/>
      <c r="D41" s="92"/>
      <c r="E41" s="92"/>
      <c r="F41" s="92"/>
      <c r="G41" s="92"/>
      <c r="H41" s="92"/>
      <c r="I41" s="92"/>
      <c r="J41" s="93"/>
      <c r="K41" s="94"/>
    </row>
    <row r="42" spans="2:11" ht="12.75">
      <c r="B42" s="196"/>
      <c r="C42" s="196"/>
      <c r="D42" s="196"/>
      <c r="E42" s="196"/>
      <c r="F42" s="196"/>
      <c r="G42" s="196"/>
      <c r="H42" s="196"/>
      <c r="I42" s="196"/>
      <c r="J42" s="196"/>
      <c r="K42" s="94"/>
    </row>
    <row r="43" spans="2:11" ht="12.75">
      <c r="B43" s="196"/>
      <c r="C43" s="196"/>
      <c r="D43" s="196"/>
      <c r="E43" s="196"/>
      <c r="F43" s="196"/>
      <c r="G43" s="196"/>
      <c r="H43" s="196"/>
      <c r="I43" s="196"/>
      <c r="J43" s="196"/>
      <c r="K43" s="94"/>
    </row>
    <row r="44" spans="9:11" ht="12.75">
      <c r="I44" s="30"/>
      <c r="K44" s="94"/>
    </row>
    <row r="45" spans="1:10" ht="12.75">
      <c r="A45" s="63"/>
      <c r="B45" s="63"/>
      <c r="C45" s="63"/>
      <c r="D45" s="63"/>
      <c r="E45" s="63"/>
      <c r="F45" s="63"/>
      <c r="G45" s="63"/>
      <c r="H45" s="63"/>
      <c r="I45" s="82"/>
      <c r="J45" s="63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3">
    <mergeCell ref="C4:H4"/>
    <mergeCell ref="B42:J42"/>
    <mergeCell ref="B43:J43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76" t="s">
        <v>307</v>
      </c>
      <c r="D2" s="8"/>
      <c r="E2" s="8"/>
      <c r="F2" s="8"/>
      <c r="G2" s="8"/>
      <c r="H2" s="8"/>
      <c r="I2" s="8"/>
      <c r="J2" s="8"/>
      <c r="K2" s="8"/>
    </row>
    <row r="3" spans="2:11" ht="12.75">
      <c r="B3" s="36" t="s">
        <v>305</v>
      </c>
      <c r="D3" s="8"/>
      <c r="E3" s="8"/>
      <c r="F3" s="8"/>
      <c r="G3" s="8"/>
      <c r="H3" s="8"/>
      <c r="I3" s="8"/>
      <c r="J3" s="8"/>
      <c r="K3" s="8"/>
    </row>
    <row r="4" spans="3:11" ht="15.75">
      <c r="C4" s="77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119</v>
      </c>
      <c r="E6" s="8" t="s">
        <v>125</v>
      </c>
      <c r="F6" s="6" t="s">
        <v>125</v>
      </c>
      <c r="G6" s="8" t="s">
        <v>92</v>
      </c>
      <c r="H6" s="8" t="s">
        <v>176</v>
      </c>
      <c r="I6" s="8" t="s">
        <v>132</v>
      </c>
      <c r="J6" s="8" t="s">
        <v>167</v>
      </c>
      <c r="K6" s="8" t="s">
        <v>159</v>
      </c>
    </row>
    <row r="7" spans="4:11" ht="12.75">
      <c r="D7" s="8" t="s">
        <v>249</v>
      </c>
      <c r="E7" s="8" t="s">
        <v>210</v>
      </c>
      <c r="F7" s="6" t="s">
        <v>117</v>
      </c>
      <c r="G7" s="8" t="s">
        <v>185</v>
      </c>
      <c r="H7" s="8" t="s">
        <v>218</v>
      </c>
      <c r="I7" s="8" t="s">
        <v>243</v>
      </c>
      <c r="J7" s="8" t="s">
        <v>202</v>
      </c>
      <c r="K7" s="8" t="s">
        <v>243</v>
      </c>
    </row>
    <row r="8" spans="2:11" ht="12.75">
      <c r="B8" s="1" t="s">
        <v>59</v>
      </c>
      <c r="D8" s="8" t="s">
        <v>70</v>
      </c>
      <c r="E8" s="8" t="s">
        <v>73</v>
      </c>
      <c r="F8" s="6" t="s">
        <v>67</v>
      </c>
      <c r="G8" s="8" t="s">
        <v>142</v>
      </c>
      <c r="H8" s="8" t="s">
        <v>181</v>
      </c>
      <c r="I8" s="8" t="s">
        <v>71</v>
      </c>
      <c r="J8" s="8" t="s">
        <v>68</v>
      </c>
      <c r="K8" s="8" t="s">
        <v>72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190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64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9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0</v>
      </c>
      <c r="K12" s="8">
        <f>H12*(1/G12)*1.2</f>
        <v>0.9428571428571428</v>
      </c>
    </row>
    <row r="13" spans="2:11" ht="12.75">
      <c r="B13" s="1" t="s">
        <v>8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63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2.75">
      <c r="B16" s="26" t="s">
        <v>235</v>
      </c>
      <c r="D16" s="8"/>
      <c r="F16" s="8"/>
      <c r="G16" s="8"/>
      <c r="H16" s="8"/>
      <c r="I16" s="10">
        <f>SUM(I11:I14)</f>
        <v>30.711779448621552</v>
      </c>
      <c r="J16" s="10">
        <f>SUM(J11:J14)</f>
        <v>0</v>
      </c>
      <c r="K16" s="10">
        <f>SUM(K11:K14)</f>
        <v>3.3494968189705028</v>
      </c>
      <c r="L16" s="26">
        <f>SUM(I16:K16)</f>
        <v>34.061276267592056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6" t="s">
        <v>137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44" t="s">
        <v>306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0</v>
      </c>
      <c r="K19" s="8">
        <f>H19*(1/G19)*1.2</f>
        <v>1.1</v>
      </c>
    </row>
    <row r="20" spans="2:11" ht="12.75">
      <c r="B20" s="40" t="s">
        <v>239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40" t="s">
        <v>306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57</v>
      </c>
      <c r="H22" s="6"/>
      <c r="I22" s="8">
        <v>5</v>
      </c>
      <c r="J22" s="8">
        <v>0.5</v>
      </c>
      <c r="K22" s="8">
        <v>1</v>
      </c>
    </row>
    <row r="23" spans="2:12" ht="12.75">
      <c r="B23" s="26" t="s">
        <v>230</v>
      </c>
      <c r="I23" s="10">
        <f>SUM(I19:I22)</f>
        <v>15.241071428571429</v>
      </c>
      <c r="J23" s="10">
        <f>SUM(J19:J22)</f>
        <v>0.5</v>
      </c>
      <c r="K23" s="10">
        <f>SUM(K19:K22)</f>
        <v>3.7142857142857144</v>
      </c>
      <c r="L23" s="26">
        <f>SUM(I23:K23)</f>
        <v>19.455357142857142</v>
      </c>
    </row>
    <row r="26" ht="12.75"/>
    <row r="27" ht="12.75"/>
    <row r="28" ht="12.75"/>
    <row r="29" spans="2:10" ht="12.75">
      <c r="B29" s="97"/>
      <c r="C29" s="97"/>
      <c r="D29" s="97"/>
      <c r="E29" s="97"/>
      <c r="F29" s="97"/>
      <c r="G29" s="97"/>
      <c r="H29" s="97"/>
      <c r="I29" s="97"/>
      <c r="J29" s="93"/>
    </row>
    <row r="30" spans="2:10" ht="12.75">
      <c r="B30" s="196"/>
      <c r="C30" s="196"/>
      <c r="D30" s="196"/>
      <c r="E30" s="196"/>
      <c r="F30" s="196"/>
      <c r="G30" s="196"/>
      <c r="H30" s="196"/>
      <c r="I30" s="196"/>
      <c r="J30" s="196"/>
    </row>
    <row r="31" spans="2:10" ht="12.75">
      <c r="B31" s="196"/>
      <c r="C31" s="196"/>
      <c r="D31" s="196"/>
      <c r="E31" s="196"/>
      <c r="F31" s="196"/>
      <c r="G31" s="196"/>
      <c r="H31" s="196"/>
      <c r="I31" s="196"/>
      <c r="J31" s="196"/>
    </row>
    <row r="36" ht="12.75">
      <c r="A36" s="1" t="s">
        <v>81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mergeCells count="2">
    <mergeCell ref="B30:J30"/>
    <mergeCell ref="B31:J31"/>
  </mergeCells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.421875" style="1" customWidth="1"/>
    <col min="2" max="2" width="32.57421875" style="1" customWidth="1"/>
    <col min="3" max="3" width="6.7109375" style="1" customWidth="1"/>
    <col min="4" max="4" width="8.2812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5">
      <c r="B2" s="76" t="s">
        <v>307</v>
      </c>
      <c r="C2" s="60"/>
    </row>
    <row r="3" ht="15.75">
      <c r="D3" s="59"/>
    </row>
    <row r="4" spans="2:11" ht="15.75">
      <c r="B4" s="197" t="s">
        <v>356</v>
      </c>
      <c r="C4" s="188"/>
      <c r="D4" s="188"/>
      <c r="E4" s="188"/>
      <c r="F4" s="188"/>
      <c r="G4" s="188"/>
      <c r="H4" s="188"/>
      <c r="I4" s="188"/>
      <c r="J4" s="188"/>
      <c r="K4" s="188"/>
    </row>
    <row r="6" spans="2:5" ht="12.75">
      <c r="B6" s="1" t="s">
        <v>92</v>
      </c>
      <c r="C6" s="12">
        <v>5</v>
      </c>
      <c r="D6" s="37">
        <v>5</v>
      </c>
      <c r="E6" s="12" t="s">
        <v>0</v>
      </c>
    </row>
    <row r="7" spans="2:5" ht="12.75">
      <c r="B7" s="1" t="s">
        <v>149</v>
      </c>
      <c r="C7" s="31">
        <v>0.065</v>
      </c>
      <c r="D7" s="37">
        <v>0.065</v>
      </c>
      <c r="E7" s="12" t="s">
        <v>0</v>
      </c>
    </row>
    <row r="8" spans="4:11" ht="12.75">
      <c r="D8" s="37" t="s">
        <v>351</v>
      </c>
      <c r="E8" s="86" t="s">
        <v>196</v>
      </c>
      <c r="F8" s="37" t="s">
        <v>208</v>
      </c>
      <c r="G8" s="81" t="s">
        <v>254</v>
      </c>
      <c r="H8" s="87"/>
      <c r="I8" s="87"/>
      <c r="J8" s="87"/>
      <c r="K8" s="81"/>
    </row>
    <row r="9" spans="2:11" ht="12.75">
      <c r="B9" s="37" t="s">
        <v>58</v>
      </c>
      <c r="D9" s="37" t="s">
        <v>350</v>
      </c>
      <c r="E9" s="86" t="s">
        <v>194</v>
      </c>
      <c r="F9" s="37" t="s">
        <v>244</v>
      </c>
      <c r="G9" s="81" t="s">
        <v>164</v>
      </c>
      <c r="H9" s="81" t="s">
        <v>113</v>
      </c>
      <c r="I9" s="37" t="s">
        <v>148</v>
      </c>
      <c r="J9" s="81" t="s">
        <v>212</v>
      </c>
      <c r="K9" s="81" t="s">
        <v>123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38" t="s">
        <v>271</v>
      </c>
      <c r="C11" s="40"/>
      <c r="D11" s="43">
        <v>0.33</v>
      </c>
      <c r="E11" s="46">
        <v>300</v>
      </c>
      <c r="F11" s="46">
        <f aca="true" t="shared" si="0" ref="F11:F17">E11*0.2</f>
        <v>60</v>
      </c>
      <c r="G11" s="46">
        <v>10</v>
      </c>
      <c r="H11" s="46">
        <f aca="true" t="shared" si="1" ref="H11:H16">(E11-F11)/G11*D11</f>
        <v>7.92</v>
      </c>
      <c r="I11" s="46">
        <f aca="true" t="shared" si="2" ref="I11:I16">(E11+F11)/2*C$7*D11</f>
        <v>3.8610000000000007</v>
      </c>
      <c r="J11" s="46">
        <f aca="true" t="shared" si="3" ref="J11:J16">(E11+F11)/2*0.014*D11</f>
        <v>0.8316</v>
      </c>
      <c r="K11" s="45">
        <f aca="true" t="shared" si="4" ref="K11:K16">(H11+I11+J11)/$C$6</f>
        <v>2.52252</v>
      </c>
    </row>
    <row r="12" spans="2:11" ht="12.75">
      <c r="B12" s="38" t="s">
        <v>270</v>
      </c>
      <c r="C12" s="40"/>
      <c r="D12" s="43">
        <v>0.33</v>
      </c>
      <c r="E12" s="46">
        <v>15000</v>
      </c>
      <c r="F12" s="46">
        <f t="shared" si="0"/>
        <v>3000</v>
      </c>
      <c r="G12" s="46">
        <v>10</v>
      </c>
      <c r="H12" s="46">
        <f t="shared" si="1"/>
        <v>396</v>
      </c>
      <c r="I12" s="46">
        <f t="shared" si="2"/>
        <v>193.05</v>
      </c>
      <c r="J12" s="46">
        <f t="shared" si="3"/>
        <v>41.580000000000005</v>
      </c>
      <c r="K12" s="45">
        <f t="shared" si="4"/>
        <v>126.126</v>
      </c>
    </row>
    <row r="13" spans="2:11" ht="12.75">
      <c r="B13" s="38" t="s">
        <v>268</v>
      </c>
      <c r="C13" s="40"/>
      <c r="D13" s="43">
        <v>0.33</v>
      </c>
      <c r="E13" s="46">
        <v>4000</v>
      </c>
      <c r="F13" s="46">
        <f t="shared" si="0"/>
        <v>800</v>
      </c>
      <c r="G13" s="46">
        <v>10</v>
      </c>
      <c r="H13" s="46">
        <f t="shared" si="1"/>
        <v>105.60000000000001</v>
      </c>
      <c r="I13" s="46">
        <f t="shared" si="2"/>
        <v>51.480000000000004</v>
      </c>
      <c r="J13" s="46">
        <f t="shared" si="3"/>
        <v>11.088000000000001</v>
      </c>
      <c r="K13" s="45">
        <f t="shared" si="4"/>
        <v>33.6336</v>
      </c>
    </row>
    <row r="14" spans="2:11" ht="12.75">
      <c r="B14" s="38" t="s">
        <v>116</v>
      </c>
      <c r="C14" s="40"/>
      <c r="D14" s="43">
        <v>0.33</v>
      </c>
      <c r="E14" s="46">
        <v>2000</v>
      </c>
      <c r="F14" s="46">
        <f t="shared" si="0"/>
        <v>400</v>
      </c>
      <c r="G14" s="46">
        <v>10</v>
      </c>
      <c r="H14" s="46">
        <f t="shared" si="1"/>
        <v>52.800000000000004</v>
      </c>
      <c r="I14" s="46">
        <f t="shared" si="2"/>
        <v>25.740000000000002</v>
      </c>
      <c r="J14" s="46">
        <f t="shared" si="3"/>
        <v>5.5440000000000005</v>
      </c>
      <c r="K14" s="45">
        <f t="shared" si="4"/>
        <v>16.8168</v>
      </c>
    </row>
    <row r="15" spans="2:11" ht="12.75">
      <c r="B15" s="39" t="s">
        <v>269</v>
      </c>
      <c r="C15" s="44"/>
      <c r="D15" s="43">
        <v>0.33</v>
      </c>
      <c r="E15" s="46">
        <v>24000</v>
      </c>
      <c r="F15" s="46">
        <f t="shared" si="0"/>
        <v>4800</v>
      </c>
      <c r="G15" s="46">
        <v>20</v>
      </c>
      <c r="H15" s="46">
        <f t="shared" si="1"/>
        <v>316.8</v>
      </c>
      <c r="I15" s="46">
        <f t="shared" si="2"/>
        <v>308.88</v>
      </c>
      <c r="J15" s="46">
        <f t="shared" si="3"/>
        <v>66.528</v>
      </c>
      <c r="K15" s="45">
        <f t="shared" si="4"/>
        <v>138.44160000000002</v>
      </c>
    </row>
    <row r="16" spans="2:11" ht="12.75">
      <c r="B16" s="39" t="s">
        <v>273</v>
      </c>
      <c r="C16" s="44"/>
      <c r="D16" s="43">
        <v>0.33</v>
      </c>
      <c r="E16" s="46">
        <v>24000</v>
      </c>
      <c r="F16" s="46">
        <f t="shared" si="0"/>
        <v>4800</v>
      </c>
      <c r="G16" s="46">
        <v>10</v>
      </c>
      <c r="H16" s="46">
        <f t="shared" si="1"/>
        <v>633.6</v>
      </c>
      <c r="I16" s="46">
        <f t="shared" si="2"/>
        <v>308.88</v>
      </c>
      <c r="J16" s="46">
        <f t="shared" si="3"/>
        <v>66.528</v>
      </c>
      <c r="K16" s="45">
        <f t="shared" si="4"/>
        <v>201.8016</v>
      </c>
    </row>
    <row r="17" spans="2:11" ht="12.75">
      <c r="B17" s="44" t="s">
        <v>272</v>
      </c>
      <c r="C17" s="17"/>
      <c r="D17" s="88">
        <v>0.33</v>
      </c>
      <c r="E17" s="49">
        <v>1000</v>
      </c>
      <c r="F17" s="49">
        <f t="shared" si="0"/>
        <v>200</v>
      </c>
      <c r="G17" s="50">
        <v>10</v>
      </c>
      <c r="H17" s="50">
        <f>(E17-F17)/G17*D17</f>
        <v>26.400000000000002</v>
      </c>
      <c r="I17" s="50">
        <f>(E17+F17)/2*C$7*D17</f>
        <v>12.870000000000001</v>
      </c>
      <c r="J17" s="50">
        <f>(E17+F17)/2*0.014*D17</f>
        <v>2.7720000000000002</v>
      </c>
      <c r="K17" s="50">
        <f>(H17+I17+J17)/$C$6</f>
        <v>8.4084</v>
      </c>
    </row>
    <row r="18" spans="2:11" ht="12.75">
      <c r="B18" s="17"/>
      <c r="C18" s="17"/>
      <c r="D18" s="7"/>
      <c r="E18" s="49"/>
      <c r="F18" s="49"/>
      <c r="G18" s="50"/>
      <c r="H18" s="50"/>
      <c r="I18" s="50"/>
      <c r="J18" s="50"/>
      <c r="K18" s="50"/>
    </row>
    <row r="19" spans="2:11" ht="13.5" thickBot="1">
      <c r="B19" s="26" t="s">
        <v>232</v>
      </c>
      <c r="D19" s="7"/>
      <c r="E19" s="67">
        <f>SUM(E11:E18)</f>
        <v>70300</v>
      </c>
      <c r="F19" s="68">
        <f>SUM(F11:F18)</f>
        <v>14060</v>
      </c>
      <c r="G19" s="51"/>
      <c r="H19" s="70">
        <f>SUM(H11:H18)</f>
        <v>1539.1200000000003</v>
      </c>
      <c r="I19" s="70">
        <f>SUM(I11:I18)</f>
        <v>904.761</v>
      </c>
      <c r="J19" s="70">
        <f>SUM(J11:J18)</f>
        <v>194.8716</v>
      </c>
      <c r="K19" s="70">
        <f>SUM(K11:K18)</f>
        <v>527.75052</v>
      </c>
    </row>
    <row r="20" spans="4:11" ht="13.5" thickTop="1">
      <c r="D20" s="7"/>
      <c r="E20" s="61"/>
      <c r="F20" s="61"/>
      <c r="G20" s="7"/>
      <c r="H20" s="61"/>
      <c r="I20" s="61"/>
      <c r="J20" s="61"/>
      <c r="K20" s="69"/>
    </row>
    <row r="21" spans="4:11" ht="12.75">
      <c r="D21" s="7"/>
      <c r="E21" s="7"/>
      <c r="F21" s="7"/>
      <c r="G21" s="7"/>
      <c r="H21" s="7"/>
      <c r="I21" s="6">
        <f>H19</f>
        <v>1539.1200000000003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904.761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194.8716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6" t="s">
        <v>229</v>
      </c>
      <c r="D25" s="7"/>
      <c r="E25" s="7"/>
      <c r="F25" s="7"/>
      <c r="G25" s="7"/>
      <c r="H25" s="7"/>
      <c r="I25" s="72">
        <f>SUM(I21:I24)</f>
        <v>2638.7526000000003</v>
      </c>
      <c r="J25" s="7"/>
      <c r="K25" s="8"/>
    </row>
    <row r="26" spans="2:11" ht="13.5" thickBot="1">
      <c r="B26" s="26" t="s">
        <v>129</v>
      </c>
      <c r="D26" s="7"/>
      <c r="E26" s="7"/>
      <c r="F26" s="7"/>
      <c r="G26" s="7"/>
      <c r="H26" s="7"/>
      <c r="I26" s="73">
        <f>I25/C6</f>
        <v>527.75052</v>
      </c>
      <c r="J26" s="7"/>
      <c r="K26" s="8"/>
    </row>
    <row r="27" spans="4:11" ht="13.5" thickTop="1">
      <c r="D27" s="7"/>
      <c r="E27" s="7"/>
      <c r="F27" s="7"/>
      <c r="G27" s="7"/>
      <c r="H27" s="7"/>
      <c r="I27" s="61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75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81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2:11" ht="12.75">
      <c r="B35" s="92"/>
      <c r="C35" s="92"/>
      <c r="D35" s="92"/>
      <c r="E35" s="92"/>
      <c r="F35" s="92"/>
      <c r="G35" s="92"/>
      <c r="H35" s="92"/>
      <c r="I35" s="92"/>
      <c r="J35" s="93"/>
      <c r="K35" s="8"/>
    </row>
    <row r="36" spans="2:11" ht="12.75">
      <c r="B36" s="196"/>
      <c r="C36" s="196"/>
      <c r="D36" s="196"/>
      <c r="E36" s="196"/>
      <c r="F36" s="196"/>
      <c r="G36" s="196"/>
      <c r="H36" s="196"/>
      <c r="I36" s="196"/>
      <c r="J36" s="196"/>
      <c r="K36" s="8"/>
    </row>
    <row r="37" spans="2:11" ht="12.75">
      <c r="B37" s="196"/>
      <c r="C37" s="196"/>
      <c r="D37" s="196"/>
      <c r="E37" s="196"/>
      <c r="F37" s="196"/>
      <c r="G37" s="196"/>
      <c r="H37" s="196"/>
      <c r="I37" s="196"/>
      <c r="J37" s="196"/>
      <c r="K37" s="8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K61" sqref="K61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76" t="s">
        <v>307</v>
      </c>
    </row>
    <row r="3" spans="1:5" ht="15.75">
      <c r="A3" s="17"/>
      <c r="E3" s="59"/>
    </row>
    <row r="4" spans="1:8" ht="15.75">
      <c r="A4" s="17"/>
      <c r="C4" s="187" t="s">
        <v>318</v>
      </c>
      <c r="D4" s="180"/>
      <c r="E4" s="180"/>
      <c r="F4" s="180"/>
      <c r="G4" s="180"/>
      <c r="H4" s="180"/>
    </row>
    <row r="5" ht="12.75">
      <c r="A5" s="17"/>
    </row>
    <row r="6" spans="1:8" ht="12.75">
      <c r="A6" s="17"/>
      <c r="C6" s="198"/>
      <c r="D6" s="199"/>
      <c r="E6" s="199"/>
      <c r="F6" s="199"/>
      <c r="G6" s="199"/>
      <c r="H6" s="199"/>
    </row>
    <row r="7" spans="1:8" ht="12.75">
      <c r="A7" s="17"/>
      <c r="C7" s="181"/>
      <c r="D7" s="180"/>
      <c r="E7" s="180"/>
      <c r="F7" s="180"/>
      <c r="G7" s="180"/>
      <c r="H7" s="180"/>
    </row>
    <row r="8" ht="12.75">
      <c r="A8" s="17"/>
    </row>
    <row r="9" spans="1:13" ht="14.25">
      <c r="A9" s="17"/>
      <c r="C9" s="200"/>
      <c r="D9" s="201"/>
      <c r="E9" s="201"/>
      <c r="F9" s="201"/>
      <c r="G9" s="201"/>
      <c r="H9" s="201"/>
      <c r="M9" s="58"/>
    </row>
    <row r="10" ht="12.75">
      <c r="A10" s="17"/>
    </row>
    <row r="11" spans="1:7" ht="12.75">
      <c r="A11" s="17"/>
      <c r="B11" s="1" t="s">
        <v>102</v>
      </c>
      <c r="D11" s="1">
        <v>5</v>
      </c>
      <c r="F11" s="27">
        <v>5</v>
      </c>
      <c r="G11" s="17" t="s">
        <v>93</v>
      </c>
    </row>
    <row r="12" spans="1:6" ht="12.75">
      <c r="A12" s="17"/>
      <c r="B12" s="1" t="s">
        <v>209</v>
      </c>
      <c r="D12" s="15">
        <v>40</v>
      </c>
      <c r="E12" s="40" t="s">
        <v>352</v>
      </c>
      <c r="F12" s="15">
        <v>40</v>
      </c>
    </row>
    <row r="13" spans="1:7" ht="12.75">
      <c r="A13" s="17"/>
      <c r="B13" s="1" t="s">
        <v>151</v>
      </c>
      <c r="G13" s="33">
        <v>0.065</v>
      </c>
    </row>
    <row r="14" spans="1:7" ht="12.75">
      <c r="A14" s="17"/>
      <c r="B14" s="1" t="s">
        <v>213</v>
      </c>
      <c r="G14" s="1">
        <v>0.015</v>
      </c>
    </row>
    <row r="15" spans="1:7" ht="12.75">
      <c r="A15" s="17"/>
      <c r="B15" s="1" t="s">
        <v>115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154</v>
      </c>
    </row>
    <row r="19" ht="12.75">
      <c r="A19" s="17"/>
    </row>
    <row r="20" spans="1:9" ht="12.75">
      <c r="A20" s="17"/>
      <c r="E20" s="54" t="s">
        <v>174</v>
      </c>
      <c r="F20" s="54" t="s">
        <v>255</v>
      </c>
      <c r="G20" s="54" t="s">
        <v>114</v>
      </c>
      <c r="H20" s="37" t="s">
        <v>150</v>
      </c>
      <c r="I20" s="37" t="s">
        <v>211</v>
      </c>
    </row>
    <row r="21" spans="1:9" ht="12.75">
      <c r="A21" s="17"/>
      <c r="B21" s="1" t="s">
        <v>188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7"/>
      <c r="B22" s="1" t="s">
        <v>257</v>
      </c>
      <c r="E22" s="6">
        <f>95*F11</f>
        <v>475</v>
      </c>
      <c r="F22" s="6">
        <v>10</v>
      </c>
      <c r="G22" s="6">
        <f t="shared" si="0"/>
        <v>47.5</v>
      </c>
      <c r="H22" s="6">
        <f>(E22/2)*G13</f>
        <v>15.4375</v>
      </c>
      <c r="I22" s="6">
        <f>(E22/2)*G14</f>
        <v>3.5625</v>
      </c>
    </row>
    <row r="23" spans="1:9" ht="12.75">
      <c r="A23" s="17"/>
      <c r="B23" s="1" t="s">
        <v>258</v>
      </c>
      <c r="E23" s="6">
        <f>IF(F11*2&lt;40,4*3*G15,IF(F11*2&lt;175,6*3*G15,IF(F11*2&lt;=600,8*3*G15,12*3*G15)))</f>
        <v>1440</v>
      </c>
      <c r="F23" s="6">
        <v>25</v>
      </c>
      <c r="G23" s="6">
        <f t="shared" si="0"/>
        <v>57.6</v>
      </c>
      <c r="H23" s="6">
        <f>(E23/2)*G13</f>
        <v>46.800000000000004</v>
      </c>
      <c r="I23" s="6">
        <f>(E23/2)*G14</f>
        <v>10.799999999999999</v>
      </c>
    </row>
    <row r="24" spans="1:9" ht="12.75">
      <c r="A24" s="17"/>
      <c r="B24" s="1" t="s">
        <v>259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7"/>
      <c r="B25" s="1" t="s">
        <v>260</v>
      </c>
      <c r="E25" s="6">
        <f>26*F11</f>
        <v>130</v>
      </c>
      <c r="F25" s="6">
        <v>10</v>
      </c>
      <c r="G25" s="6">
        <f t="shared" si="0"/>
        <v>13</v>
      </c>
      <c r="H25" s="6">
        <f>(E25/2)*G13</f>
        <v>4.2250000000000005</v>
      </c>
      <c r="I25" s="6">
        <f>(E25/2)*G14</f>
        <v>0.975</v>
      </c>
    </row>
    <row r="26" spans="1:9" ht="12.75">
      <c r="A26" s="17"/>
      <c r="B26" s="1" t="s">
        <v>261</v>
      </c>
      <c r="E26" s="6">
        <f>SUM(E21:E25)*0.03</f>
        <v>700.35</v>
      </c>
      <c r="F26" s="6">
        <v>20</v>
      </c>
      <c r="G26" s="6">
        <f t="shared" si="0"/>
        <v>35.0175</v>
      </c>
      <c r="H26" s="6">
        <f>(E26/2)*G13</f>
        <v>22.761375</v>
      </c>
      <c r="I26" s="6">
        <f>(E26/2)*G14</f>
        <v>5.252625</v>
      </c>
    </row>
    <row r="27" spans="1:9" ht="12.75">
      <c r="A27" s="17"/>
      <c r="B27" s="1" t="s">
        <v>262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7"/>
      <c r="B28" s="15" t="s">
        <v>233</v>
      </c>
      <c r="E28" s="71">
        <f>SUM(E21:E27)</f>
        <v>64045.35</v>
      </c>
      <c r="F28" s="74"/>
      <c r="G28" s="75">
        <f>SUM(G21:G27)</f>
        <v>3401.4508333333333</v>
      </c>
      <c r="H28" s="75">
        <f>SUM(H21:H27)</f>
        <v>2081.473875</v>
      </c>
      <c r="I28" s="75">
        <f>SUM(I21:I27)</f>
        <v>480.340125</v>
      </c>
    </row>
    <row r="29" spans="1:9" ht="13.5" thickTop="1">
      <c r="A29" s="17"/>
      <c r="E29" s="61"/>
      <c r="F29" s="61"/>
      <c r="G29" s="61"/>
      <c r="H29" s="61"/>
      <c r="I29" s="61"/>
    </row>
    <row r="30" spans="1:9" ht="13.5" thickBot="1">
      <c r="A30" s="17"/>
      <c r="B30" s="15" t="s">
        <v>223</v>
      </c>
      <c r="E30" s="7"/>
      <c r="F30" s="7"/>
      <c r="G30" s="7"/>
      <c r="H30" s="7"/>
      <c r="I30" s="71">
        <f>G28+H28+I28</f>
        <v>5963.264833333334</v>
      </c>
    </row>
    <row r="31" spans="1:9" ht="13.5" thickTop="1">
      <c r="A31" s="17"/>
      <c r="E31" s="7"/>
      <c r="F31" s="7"/>
      <c r="G31" s="7"/>
      <c r="H31" s="7"/>
      <c r="I31" s="61"/>
    </row>
    <row r="32" spans="1:9" ht="13.5" thickBot="1">
      <c r="A32" s="17"/>
      <c r="B32" s="15" t="s">
        <v>98</v>
      </c>
      <c r="E32" s="7"/>
      <c r="F32" s="7"/>
      <c r="G32" s="7"/>
      <c r="H32" s="7"/>
      <c r="I32" s="64">
        <f>I30/F11</f>
        <v>1192.6529666666668</v>
      </c>
    </row>
    <row r="33" spans="1:9" ht="13.5" thickTop="1">
      <c r="A33" s="17"/>
      <c r="E33" s="7"/>
      <c r="F33" s="7"/>
      <c r="G33" s="7"/>
      <c r="H33" s="7"/>
      <c r="I33" s="61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178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172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203</v>
      </c>
      <c r="E38" s="7"/>
      <c r="F38" s="7"/>
      <c r="G38" s="6">
        <f>(E28-E26-E27)*0.005+25+(E22*0.12)</f>
        <v>198.72500000000002</v>
      </c>
      <c r="H38" s="7"/>
      <c r="I38" s="7"/>
    </row>
    <row r="39" spans="1:9" ht="12.75">
      <c r="A39" s="17"/>
      <c r="B39" s="1" t="s">
        <v>99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118</v>
      </c>
      <c r="E40" s="7"/>
      <c r="F40" s="7"/>
      <c r="G40" s="6"/>
      <c r="H40" s="7"/>
      <c r="I40" s="7"/>
    </row>
    <row r="41" spans="1:9" ht="12.75">
      <c r="A41" s="17"/>
      <c r="B41" s="1" t="s">
        <v>13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34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96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97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177</v>
      </c>
      <c r="E45" s="7"/>
      <c r="F45" s="7"/>
      <c r="G45" s="7"/>
      <c r="H45" s="7"/>
      <c r="I45" s="64">
        <f>(G38+G43)/F11</f>
        <v>220.6714</v>
      </c>
    </row>
    <row r="46" spans="1:9" ht="13.5" thickTop="1">
      <c r="A46" s="17"/>
      <c r="E46" s="7"/>
      <c r="F46" s="7"/>
      <c r="G46" s="7"/>
      <c r="H46" s="7"/>
      <c r="I46" s="61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222</v>
      </c>
      <c r="E48" s="7"/>
      <c r="F48" s="7"/>
      <c r="G48" s="7"/>
      <c r="H48" s="7"/>
      <c r="I48" s="64">
        <f>I32+I45</f>
        <v>1413.3243666666667</v>
      </c>
    </row>
    <row r="49" spans="1:9" ht="13.5" thickTop="1">
      <c r="A49" s="17"/>
      <c r="E49" s="7"/>
      <c r="F49" s="7"/>
      <c r="G49" s="7"/>
      <c r="H49" s="7"/>
      <c r="I49" s="61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10" ht="12.75">
      <c r="A52" s="17"/>
      <c r="B52" s="92"/>
      <c r="C52" s="92"/>
      <c r="D52" s="92"/>
      <c r="E52" s="92"/>
      <c r="F52" s="92"/>
      <c r="G52" s="92"/>
      <c r="H52" s="92"/>
      <c r="I52" s="92"/>
      <c r="J52" s="93"/>
    </row>
    <row r="53" spans="1:10" ht="12.75">
      <c r="A53" s="17"/>
      <c r="B53" s="196"/>
      <c r="C53" s="196"/>
      <c r="D53" s="196"/>
      <c r="E53" s="196"/>
      <c r="F53" s="196"/>
      <c r="G53" s="196"/>
      <c r="H53" s="196"/>
      <c r="I53" s="196"/>
      <c r="J53" s="196"/>
    </row>
    <row r="54" spans="1:10" ht="12.75">
      <c r="A54" s="17"/>
      <c r="B54" s="196"/>
      <c r="C54" s="196"/>
      <c r="D54" s="196"/>
      <c r="E54" s="196"/>
      <c r="F54" s="196"/>
      <c r="G54" s="196"/>
      <c r="H54" s="196"/>
      <c r="I54" s="196"/>
      <c r="J54" s="196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6">
    <mergeCell ref="C4:H4"/>
    <mergeCell ref="C6:H6"/>
    <mergeCell ref="C7:H7"/>
    <mergeCell ref="C9:H9"/>
    <mergeCell ref="B53:J53"/>
    <mergeCell ref="B54:J54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2020-03-19T13:28:57Z</cp:lastPrinted>
  <dcterms:created xsi:type="dcterms:W3CDTF">2017-01-27T13:31:33Z</dcterms:created>
  <dcterms:modified xsi:type="dcterms:W3CDTF">2021-01-06T22:11:00Z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