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angxuan.Liu\Dropbox\UGA\Anukul Bhattarai\Irrigation Budgets\Budget\2020.10.19\"/>
    </mc:Choice>
  </mc:AlternateContent>
  <bookViews>
    <workbookView xWindow="0" yWindow="0" windowWidth="23040" windowHeight="9190"/>
  </bookViews>
  <sheets>
    <sheet name="8 Towers Electric" sheetId="1" r:id="rId1"/>
    <sheet name="Cost Factors" sheetId="3" r:id="rId2"/>
    <sheet name="Sheet2" sheetId="2" state="hidden" r:id="rId3"/>
    <sheet name="Sheet1" sheetId="4" state="hidden" r:id="rId4"/>
  </sheets>
  <externalReferences>
    <externalReference r:id="rId5"/>
    <externalReference r:id="rId6"/>
  </externalReferences>
  <definedNames>
    <definedName name="Crop">Sheet1!$A$1:$A$4</definedName>
    <definedName name="Irrigation">#REF!</definedName>
    <definedName name="_xlnm.Print_Area" localSheetId="0">'8 Towers Electric'!$B$1:$H$66</definedName>
    <definedName name="Sched">[1]Sheet2!$B$1:$B$3</definedName>
    <definedName name="Sched3">Sheet2!$B$1:$B$3</definedName>
    <definedName name="SMS">[2]Sheet2!$B$1:$B$3</definedName>
  </definedNames>
  <calcPr calcId="162913" concurrentManualCount="7"/>
</workbook>
</file>

<file path=xl/calcChain.xml><?xml version="1.0" encoding="utf-8"?>
<calcChain xmlns="http://schemas.openxmlformats.org/spreadsheetml/2006/main">
  <c r="F43" i="1" l="1"/>
  <c r="G9" i="1" l="1"/>
  <c r="D44" i="1" l="1"/>
  <c r="F40" i="1"/>
  <c r="F44" i="1" l="1"/>
  <c r="B20" i="1" l="1"/>
  <c r="B19" i="1"/>
  <c r="F19" i="1" l="1"/>
  <c r="B32" i="1" l="1"/>
  <c r="E20" i="1"/>
  <c r="D19" i="1"/>
  <c r="E19" i="1"/>
  <c r="G19" i="1" s="1"/>
  <c r="F20" i="1"/>
  <c r="C20" i="1"/>
  <c r="C19" i="1"/>
  <c r="D20" i="1"/>
  <c r="B29" i="1"/>
  <c r="G20" i="1" l="1"/>
  <c r="H20" i="1"/>
  <c r="H19" i="1"/>
  <c r="F32" i="1" l="1"/>
  <c r="E32" i="1"/>
  <c r="G44" i="1"/>
  <c r="H44" i="1" s="1"/>
  <c r="G40" i="1" l="1"/>
  <c r="D43" i="1"/>
  <c r="H40" i="1" l="1"/>
  <c r="G14" i="1"/>
  <c r="G15" i="1"/>
  <c r="G16" i="1"/>
  <c r="G17" i="1"/>
  <c r="G18" i="1"/>
  <c r="B31" i="1"/>
  <c r="B28" i="1"/>
  <c r="E26" i="1" l="1"/>
  <c r="D26" i="1"/>
  <c r="F26" i="1"/>
  <c r="F38" i="1"/>
  <c r="F45" i="1" s="1"/>
  <c r="F28" i="1"/>
  <c r="E28" i="1"/>
  <c r="D28" i="1"/>
  <c r="F29" i="1"/>
  <c r="E29" i="1"/>
  <c r="D29" i="1"/>
  <c r="F30" i="1"/>
  <c r="D30" i="1"/>
  <c r="E30" i="1"/>
  <c r="F27" i="1"/>
  <c r="D27" i="1"/>
  <c r="E27" i="1"/>
  <c r="D31" i="1"/>
  <c r="D32" i="1"/>
  <c r="G32" i="1" s="1"/>
  <c r="H32" i="1" s="1"/>
  <c r="E31" i="1"/>
  <c r="F31" i="1"/>
  <c r="G43" i="1"/>
  <c r="H16" i="1"/>
  <c r="H17" i="1"/>
  <c r="H14" i="1"/>
  <c r="H15" i="1"/>
  <c r="H18" i="1"/>
  <c r="G38" i="1" l="1"/>
  <c r="G27" i="1"/>
  <c r="H27" i="1" s="1"/>
  <c r="G30" i="1"/>
  <c r="H30" i="1" s="1"/>
  <c r="G28" i="1"/>
  <c r="H28" i="1" s="1"/>
  <c r="G26" i="1"/>
  <c r="H26" i="1" s="1"/>
  <c r="G29" i="1"/>
  <c r="H29" i="1" s="1"/>
  <c r="G31" i="1"/>
  <c r="H31" i="1" s="1"/>
  <c r="G21" i="1"/>
  <c r="H43" i="1"/>
  <c r="H21" i="1"/>
  <c r="H38" i="1" l="1"/>
  <c r="H45" i="1" s="1"/>
  <c r="G45" i="1"/>
  <c r="H33" i="1"/>
  <c r="G49" i="1" s="1"/>
  <c r="F50" i="1"/>
  <c r="G33" i="1" l="1"/>
  <c r="F49" i="1" s="1"/>
  <c r="F51" i="1" s="1"/>
  <c r="H50" i="1"/>
  <c r="G50" i="1"/>
  <c r="G51" i="1" s="1"/>
</calcChain>
</file>

<file path=xl/sharedStrings.xml><?xml version="1.0" encoding="utf-8"?>
<sst xmlns="http://schemas.openxmlformats.org/spreadsheetml/2006/main" count="80" uniqueCount="65">
  <si>
    <t>Total Operating Costs</t>
  </si>
  <si>
    <t>Cost Per Hour</t>
  </si>
  <si>
    <t>Hours</t>
  </si>
  <si>
    <t>Per Acre Inch</t>
  </si>
  <si>
    <t>Horse Power</t>
  </si>
  <si>
    <t>Operating Costs</t>
  </si>
  <si>
    <t>Total Ownership Costs</t>
  </si>
  <si>
    <t>Ownership Costs</t>
  </si>
  <si>
    <t>Well</t>
  </si>
  <si>
    <t>Power Unit</t>
  </si>
  <si>
    <t>Pump</t>
  </si>
  <si>
    <t>Pivot System</t>
  </si>
  <si>
    <t>Pipe and Fittings</t>
  </si>
  <si>
    <t>Investment Cost</t>
  </si>
  <si>
    <t>Cost/Unit</t>
  </si>
  <si>
    <t>Quantity</t>
  </si>
  <si>
    <t>Investment Costs</t>
  </si>
  <si>
    <t>Cost Factor</t>
  </si>
  <si>
    <t>Salvage Value</t>
  </si>
  <si>
    <t>Useful Life</t>
  </si>
  <si>
    <t xml:space="preserve">Ownership Costs </t>
  </si>
  <si>
    <t>Per acre</t>
  </si>
  <si>
    <t xml:space="preserve">Investment Costs </t>
  </si>
  <si>
    <t>Per Acre</t>
  </si>
  <si>
    <t>Corn</t>
  </si>
  <si>
    <t>Cotton</t>
  </si>
  <si>
    <t>Crop Type</t>
  </si>
  <si>
    <t>Cost Per Acre Inch</t>
  </si>
  <si>
    <t>Annual Costs</t>
  </si>
  <si>
    <t>Peanut</t>
  </si>
  <si>
    <t>Checkbook</t>
  </si>
  <si>
    <t>SMS Plus</t>
  </si>
  <si>
    <t>App Based</t>
  </si>
  <si>
    <t>Base Station</t>
  </si>
  <si>
    <t>Pipe and Fittings (Feet)</t>
  </si>
  <si>
    <t>Soil Moisture Sensors</t>
  </si>
  <si>
    <t>Total Investment Costs</t>
  </si>
  <si>
    <t xml:space="preserve"> Per Acre</t>
  </si>
  <si>
    <t>Cost Per Acre</t>
  </si>
  <si>
    <r>
      <rPr>
        <vertAlign val="superscript"/>
        <sz val="9"/>
        <color theme="1"/>
        <rFont val="Calibri"/>
        <family val="2"/>
        <scheme val="minor"/>
      </rPr>
      <t>1</t>
    </r>
    <r>
      <rPr>
        <sz val="9"/>
        <color theme="1"/>
        <rFont val="Calibri"/>
        <family val="2"/>
        <scheme val="minor"/>
      </rPr>
      <t xml:space="preserve"> Three types of irrigation scheduling methods, including calendar-based checkbook method (Checkbook), soil moisture sensor-based method (SMS plus), and cellphone app-based method (App based). SMS plus method includes the cost of soil moisture sensors and a base station. The base station receives and analyzes the field data collected by soil moisture sensors. The acre inch of water applied depends upon the type of irrigation scheduling method used and the crop planted. </t>
    </r>
  </si>
  <si>
    <t>160 Acres Electric Powered Center Pivot Irrigation Budget</t>
  </si>
  <si>
    <t>Cost Per kWh</t>
  </si>
  <si>
    <t>Labor</t>
  </si>
  <si>
    <t>Management</t>
  </si>
  <si>
    <t>Pump (Electricity)</t>
  </si>
  <si>
    <t>Repairs and Maintenance</t>
  </si>
  <si>
    <t>Depreciation</t>
  </si>
  <si>
    <t>Intermediate Interest</t>
  </si>
  <si>
    <t>Tax &amp; Insurance</t>
  </si>
  <si>
    <r>
      <t>Irrigation Scheduling Method</t>
    </r>
    <r>
      <rPr>
        <b/>
        <vertAlign val="superscript"/>
        <sz val="11"/>
        <color theme="1"/>
        <rFont val="Calibri"/>
        <family val="2"/>
        <scheme val="minor"/>
      </rPr>
      <t>1</t>
    </r>
  </si>
  <si>
    <t>Total Costs</t>
  </si>
  <si>
    <t>Cost Per Pivot</t>
  </si>
  <si>
    <t>Developed by Anukul Bhattarai, Amanda Smith, Yangxuan Liu, Wesley Porter, Calvin Perry, Cale Cloud, and David Hall. Funding support provided by the Georgia Cotton Commission. Thanks to County Extension Agents, UGA Cotton Team, UGA H2O Task Force, and industry representatives for providing data, input, and review/suggestions.</t>
  </si>
  <si>
    <t>Acres</t>
  </si>
  <si>
    <t>Inches</t>
  </si>
  <si>
    <t>Acreage Covered</t>
  </si>
  <si>
    <t>Annual Acre Inch Applied</t>
  </si>
  <si>
    <r>
      <t>Pivot System (8 Towers)</t>
    </r>
    <r>
      <rPr>
        <b/>
        <vertAlign val="superscript"/>
        <sz val="11"/>
        <color theme="1"/>
        <rFont val="Calibri"/>
        <family val="2"/>
        <scheme val="minor"/>
      </rPr>
      <t xml:space="preserve">2 </t>
    </r>
  </si>
  <si>
    <r>
      <t>Well</t>
    </r>
    <r>
      <rPr>
        <b/>
        <vertAlign val="superscript"/>
        <sz val="11"/>
        <color theme="1"/>
        <rFont val="Calibri"/>
        <family val="2"/>
        <scheme val="minor"/>
      </rPr>
      <t>3</t>
    </r>
  </si>
  <si>
    <t>Average Application Rate</t>
  </si>
  <si>
    <t>Georgia, 2021</t>
  </si>
  <si>
    <r>
      <rPr>
        <vertAlign val="superscript"/>
        <sz val="9"/>
        <color theme="1"/>
        <rFont val="Calibri"/>
        <family val="2"/>
        <scheme val="minor"/>
      </rPr>
      <t>2</t>
    </r>
    <r>
      <rPr>
        <sz val="9"/>
        <color theme="1"/>
        <rFont val="Calibri"/>
        <family val="2"/>
        <scheme val="minor"/>
      </rPr>
      <t xml:space="preserve"> The costs of the pivot system include the costs of 8 towers with tower auto reverse, control panel, center drives, wheel gearboxes, hose drops, end gun, booster pump, barricades, tires, flow meter, welding, steel pipe, flanges, gaskets, bolts, underground 3 phase wire, and installation. 3 phase powerline is assumed to be available at the edge of the field.</t>
    </r>
  </si>
  <si>
    <t>Average Time for Full Coverage</t>
  </si>
  <si>
    <r>
      <rPr>
        <vertAlign val="superscript"/>
        <sz val="9"/>
        <color theme="1"/>
        <rFont val="Calibri"/>
        <family val="2"/>
        <scheme val="minor"/>
      </rPr>
      <t>3</t>
    </r>
    <r>
      <rPr>
        <sz val="9"/>
        <color theme="1"/>
        <rFont val="Calibri"/>
        <family val="2"/>
        <scheme val="minor"/>
      </rPr>
      <t xml:space="preserve"> The cost of the well depends on the depth and size of the well. Certain regions in Georgia require a deeper depth of the well to pump water from the Claiborne Aquifer (700 + feet) instead of the Floridan Aquifer (60-600 feet). The assumption in this budget for the well is a 12-inch 500 feet open hole well with 300 feet casing</t>
    </r>
  </si>
  <si>
    <t xml:space="preserve">A base station can control and process the soil moisture data from multiple pivots on a farm simultaneously. Thus, the investment cost for the base station is adjusted with the number of pivots on the farm. We assume that a farm has two 160 acres center pivots in our irrigation budgets.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</si>
</sst>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0" x14ac:knownFonts="1">
    <font>
      <sz val="11"/>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b/>
      <sz val="11"/>
      <color theme="1"/>
      <name val="Calibri"/>
      <family val="2"/>
      <scheme val="minor"/>
    </font>
    <font>
      <b/>
      <vertAlign val="superscript"/>
      <sz val="11"/>
      <color theme="1"/>
      <name val="Calibri"/>
      <family val="2"/>
      <scheme val="minor"/>
    </font>
    <font>
      <b/>
      <sz val="11"/>
      <color theme="3" tint="-0.249977111117893"/>
      <name val="Calibri"/>
      <family val="2"/>
      <scheme val="minor"/>
    </font>
    <font>
      <i/>
      <sz val="9"/>
      <color theme="1"/>
      <name val="Calibri"/>
      <family val="2"/>
      <scheme val="minor"/>
    </font>
    <font>
      <sz val="9"/>
      <color theme="1"/>
      <name val="Calibri"/>
      <family val="2"/>
      <scheme val="minor"/>
    </font>
    <font>
      <vertAlign val="superscript"/>
      <sz val="9"/>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auto="1"/>
      </top>
      <bottom/>
      <diagonal/>
    </border>
  </borders>
  <cellStyleXfs count="1">
    <xf numFmtId="0" fontId="0" fillId="0" borderId="0"/>
  </cellStyleXfs>
  <cellXfs count="110">
    <xf numFmtId="0" fontId="0" fillId="0" borderId="0" xfId="0"/>
    <xf numFmtId="164" fontId="0" fillId="0" borderId="0" xfId="0" applyNumberFormat="1" applyBorder="1" applyAlignment="1">
      <alignment horizontal="center"/>
    </xf>
    <xf numFmtId="0" fontId="2" fillId="0" borderId="0" xfId="0" applyFont="1" applyBorder="1" applyAlignment="1">
      <alignment horizontal="center"/>
    </xf>
    <xf numFmtId="0" fontId="1" fillId="0" borderId="0" xfId="0" applyFont="1"/>
    <xf numFmtId="0" fontId="0" fillId="0" borderId="0" xfId="0" applyBorder="1"/>
    <xf numFmtId="0" fontId="1" fillId="0" borderId="0" xfId="0" applyFont="1" applyFill="1" applyBorder="1"/>
    <xf numFmtId="0" fontId="0" fillId="0" borderId="0" xfId="0" applyNumberFormat="1" applyFont="1" applyBorder="1" applyAlignment="1">
      <alignment horizontal="center"/>
    </xf>
    <xf numFmtId="0" fontId="2" fillId="0" borderId="0" xfId="0" applyFont="1"/>
    <xf numFmtId="10" fontId="0" fillId="0" borderId="0" xfId="0" applyNumberFormat="1" applyAlignment="1">
      <alignment horizontal="center"/>
    </xf>
    <xf numFmtId="0" fontId="1" fillId="0" borderId="0" xfId="0" applyFont="1" applyAlignment="1">
      <alignment horizontal="center"/>
    </xf>
    <xf numFmtId="164" fontId="3" fillId="0" borderId="0" xfId="0" applyNumberFormat="1" applyFont="1" applyAlignment="1">
      <alignment horizontal="center"/>
    </xf>
    <xf numFmtId="0" fontId="1" fillId="0" borderId="0" xfId="0" applyFont="1" applyBorder="1" applyAlignment="1">
      <alignment horizontal="center"/>
    </xf>
    <xf numFmtId="164" fontId="3" fillId="0" borderId="0" xfId="0" applyNumberFormat="1" applyFont="1" applyBorder="1" applyAlignment="1">
      <alignment horizontal="center"/>
    </xf>
    <xf numFmtId="0" fontId="3" fillId="0" borderId="0" xfId="0" applyFont="1" applyBorder="1"/>
    <xf numFmtId="164" fontId="1" fillId="0" borderId="0" xfId="0" applyNumberFormat="1" applyFont="1" applyBorder="1" applyAlignment="1">
      <alignment horizontal="center"/>
    </xf>
    <xf numFmtId="0" fontId="3" fillId="0" borderId="0" xfId="0" applyFont="1" applyFill="1" applyBorder="1"/>
    <xf numFmtId="0" fontId="3" fillId="0" borderId="0" xfId="0" applyNumberFormat="1" applyFont="1" applyFill="1" applyBorder="1" applyAlignment="1">
      <alignment horizontal="center"/>
    </xf>
    <xf numFmtId="0" fontId="0" fillId="0" borderId="0" xfId="0" applyAlignment="1">
      <alignment vertical="center" wrapText="1"/>
    </xf>
    <xf numFmtId="0" fontId="1" fillId="0" borderId="0" xfId="0" applyFont="1" applyBorder="1"/>
    <xf numFmtId="0" fontId="0" fillId="0" borderId="0" xfId="0" applyFont="1"/>
    <xf numFmtId="0" fontId="6" fillId="0" borderId="0" xfId="0" applyFont="1" applyAlignment="1"/>
    <xf numFmtId="0" fontId="4" fillId="0" borderId="0" xfId="0" applyFont="1" applyBorder="1" applyAlignment="1"/>
    <xf numFmtId="0" fontId="4" fillId="0" borderId="0" xfId="0" applyFont="1" applyBorder="1"/>
    <xf numFmtId="0" fontId="0" fillId="0" borderId="0" xfId="0" applyFont="1" applyBorder="1"/>
    <xf numFmtId="0" fontId="0" fillId="0" borderId="4" xfId="0" applyFont="1" applyBorder="1"/>
    <xf numFmtId="0" fontId="4" fillId="0" borderId="3" xfId="0" applyFont="1" applyBorder="1" applyAlignment="1">
      <alignment horizontal="center" vertical="center"/>
    </xf>
    <xf numFmtId="0" fontId="4" fillId="0" borderId="5" xfId="0" applyFont="1" applyBorder="1" applyAlignment="1">
      <alignment horizontal="center" vertical="center" wrapText="1"/>
    </xf>
    <xf numFmtId="0" fontId="0" fillId="0" borderId="8" xfId="0" applyFont="1" applyBorder="1"/>
    <xf numFmtId="0" fontId="4" fillId="0" borderId="1" xfId="0" applyFont="1" applyBorder="1" applyAlignment="1">
      <alignment horizontal="center" vertical="center"/>
    </xf>
    <xf numFmtId="0" fontId="4" fillId="0" borderId="9" xfId="0" applyFont="1" applyBorder="1" applyAlignment="1">
      <alignment horizontal="center" vertical="center" wrapText="1"/>
    </xf>
    <xf numFmtId="0" fontId="4" fillId="0" borderId="6" xfId="0" applyFont="1" applyBorder="1"/>
    <xf numFmtId="0" fontId="0" fillId="0" borderId="0" xfId="0" applyFont="1" applyBorder="1" applyAlignment="1">
      <alignment horizontal="center"/>
    </xf>
    <xf numFmtId="164" fontId="0" fillId="0" borderId="0" xfId="0" applyNumberFormat="1" applyFont="1" applyFill="1" applyBorder="1" applyAlignment="1">
      <alignment horizontal="center"/>
    </xf>
    <xf numFmtId="164" fontId="0" fillId="0" borderId="0" xfId="0" applyNumberFormat="1" applyFont="1" applyBorder="1" applyAlignment="1">
      <alignment horizontal="center"/>
    </xf>
    <xf numFmtId="164" fontId="0" fillId="0" borderId="7" xfId="0" applyNumberFormat="1" applyFont="1" applyBorder="1" applyAlignment="1">
      <alignment horizontal="center"/>
    </xf>
    <xf numFmtId="0" fontId="4" fillId="0" borderId="8" xfId="0" applyFont="1" applyBorder="1"/>
    <xf numFmtId="0" fontId="4" fillId="0" borderId="10" xfId="0" applyFont="1" applyFill="1" applyBorder="1" applyAlignment="1"/>
    <xf numFmtId="0" fontId="4" fillId="0" borderId="2" xfId="0" applyFont="1" applyFill="1" applyBorder="1" applyAlignment="1"/>
    <xf numFmtId="0" fontId="4" fillId="0" borderId="2" xfId="0" applyFont="1" applyFill="1" applyBorder="1"/>
    <xf numFmtId="0" fontId="0" fillId="0" borderId="2" xfId="0" applyFont="1" applyBorder="1"/>
    <xf numFmtId="164" fontId="4" fillId="0" borderId="2" xfId="0" applyNumberFormat="1" applyFont="1" applyBorder="1" applyAlignment="1">
      <alignment horizontal="center"/>
    </xf>
    <xf numFmtId="164" fontId="4" fillId="0" borderId="11" xfId="0" applyNumberFormat="1" applyFont="1" applyBorder="1" applyAlignment="1">
      <alignment horizontal="center"/>
    </xf>
    <xf numFmtId="0" fontId="4" fillId="0" borderId="0" xfId="0" applyFont="1" applyFill="1" applyBorder="1"/>
    <xf numFmtId="0" fontId="4" fillId="0" borderId="1" xfId="0" applyFont="1" applyFill="1" applyBorder="1"/>
    <xf numFmtId="0" fontId="0" fillId="0" borderId="1" xfId="0" applyFont="1" applyBorder="1"/>
    <xf numFmtId="0" fontId="4" fillId="0" borderId="4" xfId="0" applyFont="1" applyFill="1" applyBorder="1"/>
    <xf numFmtId="0" fontId="0" fillId="0" borderId="3" xfId="0" applyFont="1" applyBorder="1"/>
    <xf numFmtId="0" fontId="4" fillId="0" borderId="3" xfId="0" applyFont="1" applyBorder="1" applyAlignment="1">
      <alignment horizontal="center"/>
    </xf>
    <xf numFmtId="0" fontId="4" fillId="0" borderId="3" xfId="0" applyNumberFormat="1" applyFont="1" applyFill="1" applyBorder="1" applyAlignment="1">
      <alignment horizontal="center"/>
    </xf>
    <xf numFmtId="0" fontId="4" fillId="0" borderId="5" xfId="0" applyFont="1" applyBorder="1" applyAlignment="1">
      <alignment horizontal="center"/>
    </xf>
    <xf numFmtId="0" fontId="4" fillId="0" borderId="8" xfId="0" applyFont="1" applyFill="1" applyBorder="1"/>
    <xf numFmtId="0" fontId="0" fillId="0" borderId="1" xfId="0" applyFont="1" applyBorder="1" applyAlignment="1">
      <alignment horizontal="center"/>
    </xf>
    <xf numFmtId="0" fontId="4" fillId="0" borderId="1" xfId="0" applyNumberFormat="1" applyFont="1" applyBorder="1" applyAlignment="1">
      <alignment horizontal="center"/>
    </xf>
    <xf numFmtId="0" fontId="4" fillId="0" borderId="9" xfId="0" applyFont="1" applyBorder="1" applyAlignment="1">
      <alignment horizontal="center"/>
    </xf>
    <xf numFmtId="164" fontId="0" fillId="0" borderId="5" xfId="0" applyNumberFormat="1" applyFont="1" applyBorder="1" applyAlignment="1">
      <alignment horizontal="center"/>
    </xf>
    <xf numFmtId="0" fontId="4" fillId="0" borderId="6" xfId="0" applyFont="1" applyFill="1" applyBorder="1"/>
    <xf numFmtId="0" fontId="4" fillId="0" borderId="10" xfId="0" applyFont="1" applyFill="1" applyBorder="1" applyAlignment="1">
      <alignment horizontal="left"/>
    </xf>
    <xf numFmtId="0" fontId="4" fillId="0" borderId="2" xfId="0" applyFont="1" applyFill="1" applyBorder="1" applyAlignment="1">
      <alignment horizontal="center"/>
    </xf>
    <xf numFmtId="0" fontId="0" fillId="0" borderId="1" xfId="0" applyFont="1" applyFill="1" applyBorder="1"/>
    <xf numFmtId="0" fontId="0" fillId="0" borderId="0" xfId="0" applyFont="1" applyFill="1" applyBorder="1"/>
    <xf numFmtId="0" fontId="4" fillId="0" borderId="4" xfId="0" applyFont="1" applyBorder="1"/>
    <xf numFmtId="0" fontId="4" fillId="0" borderId="3" xfId="0" applyNumberFormat="1" applyFont="1" applyBorder="1" applyAlignment="1">
      <alignment horizontal="center"/>
    </xf>
    <xf numFmtId="0" fontId="4" fillId="0" borderId="5" xfId="0" applyNumberFormat="1" applyFont="1" applyBorder="1" applyAlignment="1">
      <alignment horizontal="center"/>
    </xf>
    <xf numFmtId="1" fontId="4" fillId="0" borderId="1" xfId="0" applyNumberFormat="1" applyFont="1" applyBorder="1" applyAlignment="1">
      <alignment horizontal="center"/>
    </xf>
    <xf numFmtId="164" fontId="4" fillId="0" borderId="1" xfId="0" applyNumberFormat="1" applyFont="1" applyBorder="1" applyAlignment="1">
      <alignment horizontal="center"/>
    </xf>
    <xf numFmtId="0" fontId="4" fillId="0" borderId="9" xfId="0" applyNumberFormat="1" applyFont="1" applyBorder="1" applyAlignment="1">
      <alignment horizontal="center"/>
    </xf>
    <xf numFmtId="164" fontId="0" fillId="0" borderId="1" xfId="0" applyNumberFormat="1" applyFont="1" applyBorder="1" applyAlignment="1">
      <alignment horizontal="center"/>
    </xf>
    <xf numFmtId="0" fontId="4" fillId="0" borderId="10" xfId="0" applyFont="1" applyFill="1" applyBorder="1"/>
    <xf numFmtId="164" fontId="4" fillId="0" borderId="0" xfId="0" applyNumberFormat="1" applyFont="1" applyBorder="1" applyAlignment="1">
      <alignment horizontal="center"/>
    </xf>
    <xf numFmtId="0" fontId="0" fillId="0" borderId="10" xfId="0" applyFont="1" applyBorder="1"/>
    <xf numFmtId="0" fontId="4" fillId="0" borderId="2" xfId="0" applyFont="1" applyBorder="1" applyAlignment="1">
      <alignment horizontal="center" wrapText="1"/>
    </xf>
    <xf numFmtId="0" fontId="7" fillId="0" borderId="0" xfId="0" applyFont="1" applyBorder="1" applyAlignment="1">
      <alignment horizontal="left" vertical="top" wrapText="1"/>
    </xf>
    <xf numFmtId="0" fontId="4" fillId="0" borderId="2" xfId="0" applyFont="1" applyBorder="1" applyAlignment="1">
      <alignment horizontal="center"/>
    </xf>
    <xf numFmtId="0" fontId="4" fillId="0" borderId="11" xfId="0" applyFont="1" applyBorder="1" applyAlignment="1">
      <alignment horizontal="center" wrapText="1"/>
    </xf>
    <xf numFmtId="0" fontId="4" fillId="0" borderId="10" xfId="0" applyFont="1" applyBorder="1"/>
    <xf numFmtId="164" fontId="0" fillId="0" borderId="11" xfId="0" applyNumberFormat="1" applyFont="1" applyBorder="1"/>
    <xf numFmtId="164" fontId="4" fillId="0" borderId="11" xfId="0" applyNumberFormat="1" applyFont="1" applyBorder="1"/>
    <xf numFmtId="0" fontId="0" fillId="0" borderId="11" xfId="0" applyFont="1" applyBorder="1"/>
    <xf numFmtId="0" fontId="4" fillId="0" borderId="0" xfId="0" applyFont="1" applyBorder="1" applyAlignment="1">
      <alignment horizontal="center"/>
    </xf>
    <xf numFmtId="0" fontId="4" fillId="0" borderId="0" xfId="0" applyNumberFormat="1" applyFont="1" applyBorder="1" applyAlignment="1">
      <alignment horizontal="center"/>
    </xf>
    <xf numFmtId="0" fontId="4" fillId="0" borderId="7" xfId="0" applyNumberFormat="1" applyFont="1" applyBorder="1" applyAlignment="1">
      <alignment horizontal="center"/>
    </xf>
    <xf numFmtId="1" fontId="4" fillId="0" borderId="0" xfId="0" applyNumberFormat="1" applyFont="1" applyBorder="1" applyAlignment="1">
      <alignment horizontal="center"/>
    </xf>
    <xf numFmtId="0" fontId="4" fillId="2" borderId="0" xfId="0" applyFont="1" applyFill="1" applyBorder="1" applyAlignment="1">
      <alignment horizontal="center"/>
    </xf>
    <xf numFmtId="0" fontId="4" fillId="2" borderId="7" xfId="0" applyFont="1" applyFill="1" applyBorder="1" applyAlignment="1">
      <alignment horizontal="center"/>
    </xf>
    <xf numFmtId="0" fontId="4" fillId="2" borderId="1" xfId="0" applyFont="1" applyFill="1" applyBorder="1" applyAlignment="1">
      <alignment horizontal="center"/>
    </xf>
    <xf numFmtId="0" fontId="4" fillId="2" borderId="9" xfId="0" applyFont="1" applyFill="1" applyBorder="1" applyAlignment="1">
      <alignment horizontal="center"/>
    </xf>
    <xf numFmtId="0" fontId="0" fillId="2" borderId="0" xfId="0" applyFont="1" applyFill="1" applyBorder="1" applyAlignment="1">
      <alignment horizontal="center"/>
    </xf>
    <xf numFmtId="164" fontId="0" fillId="2" borderId="0" xfId="0" applyNumberFormat="1" applyFont="1" applyFill="1" applyBorder="1" applyAlignment="1">
      <alignment horizontal="center"/>
    </xf>
    <xf numFmtId="0" fontId="0" fillId="2" borderId="0" xfId="0" applyNumberFormat="1" applyFont="1" applyFill="1" applyBorder="1" applyAlignment="1">
      <alignment horizontal="center"/>
    </xf>
    <xf numFmtId="0" fontId="0" fillId="2" borderId="1" xfId="0" applyNumberFormat="1" applyFont="1" applyFill="1" applyBorder="1" applyAlignment="1">
      <alignment horizontal="center"/>
    </xf>
    <xf numFmtId="10" fontId="4" fillId="2" borderId="1" xfId="0" applyNumberFormat="1" applyFont="1" applyFill="1" applyBorder="1" applyAlignment="1">
      <alignment horizontal="center"/>
    </xf>
    <xf numFmtId="2" fontId="0" fillId="2" borderId="0" xfId="0" applyNumberFormat="1" applyFont="1" applyFill="1" applyBorder="1" applyAlignment="1">
      <alignment horizontal="center"/>
    </xf>
    <xf numFmtId="2" fontId="0" fillId="2" borderId="1" xfId="0" applyNumberFormat="1" applyFont="1" applyFill="1" applyBorder="1" applyAlignment="1">
      <alignment horizontal="center"/>
    </xf>
    <xf numFmtId="164" fontId="0" fillId="2" borderId="1" xfId="0" applyNumberFormat="1" applyFont="1" applyFill="1" applyBorder="1" applyAlignment="1">
      <alignment horizontal="center"/>
    </xf>
    <xf numFmtId="0" fontId="4" fillId="0" borderId="0" xfId="0" applyFont="1" applyAlignment="1">
      <alignment horizontal="center"/>
    </xf>
    <xf numFmtId="0" fontId="7" fillId="0" borderId="12" xfId="0" applyFont="1" applyBorder="1" applyAlignment="1">
      <alignment horizontal="left" vertical="top" wrapText="1"/>
    </xf>
    <xf numFmtId="0" fontId="7" fillId="0" borderId="0" xfId="0" applyFont="1" applyBorder="1" applyAlignment="1">
      <alignment horizontal="left" vertical="top" wrapText="1"/>
    </xf>
    <xf numFmtId="0" fontId="4" fillId="0" borderId="8" xfId="0" applyFont="1" applyBorder="1" applyAlignment="1">
      <alignment horizontal="left"/>
    </xf>
    <xf numFmtId="0" fontId="4" fillId="0" borderId="1" xfId="0" applyFont="1" applyBorder="1" applyAlignment="1">
      <alignment horizontal="left"/>
    </xf>
    <xf numFmtId="0" fontId="4" fillId="2" borderId="0" xfId="0" applyFont="1" applyFill="1" applyBorder="1" applyAlignment="1">
      <alignment horizontal="center"/>
    </xf>
    <xf numFmtId="0" fontId="4" fillId="2" borderId="7" xfId="0" applyFont="1" applyFill="1" applyBorder="1" applyAlignment="1">
      <alignment horizontal="center"/>
    </xf>
    <xf numFmtId="0" fontId="4" fillId="0" borderId="6" xfId="0" applyFont="1" applyBorder="1" applyAlignment="1">
      <alignment horizontal="left"/>
    </xf>
    <xf numFmtId="0" fontId="4" fillId="0" borderId="0" xfId="0" applyFont="1" applyBorder="1" applyAlignment="1">
      <alignment horizontal="left"/>
    </xf>
    <xf numFmtId="0" fontId="4" fillId="0" borderId="4" xfId="0" applyFont="1" applyBorder="1" applyAlignment="1"/>
    <xf numFmtId="0" fontId="4" fillId="0" borderId="3" xfId="0" applyFont="1" applyBorder="1" applyAlignment="1"/>
    <xf numFmtId="0" fontId="4" fillId="2" borderId="3" xfId="0" applyFont="1" applyFill="1" applyBorder="1" applyAlignment="1">
      <alignment horizontal="center"/>
    </xf>
    <xf numFmtId="0" fontId="4" fillId="2" borderId="5" xfId="0" applyFont="1" applyFill="1" applyBorder="1" applyAlignment="1">
      <alignment horizontal="center"/>
    </xf>
    <xf numFmtId="0" fontId="8" fillId="0" borderId="0" xfId="0" applyFont="1" applyAlignment="1">
      <alignment horizontal="left" vertical="center" wrapText="1"/>
    </xf>
    <xf numFmtId="0" fontId="8" fillId="0" borderId="0" xfId="0" applyFont="1" applyBorder="1" applyAlignment="1">
      <alignment horizontal="left" vertical="top" wrapText="1"/>
    </xf>
    <xf numFmtId="0" fontId="8" fillId="0" borderId="0" xfId="0" applyFont="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ngxuan.Liu/AppData/Local/Microsoft/Windows/INetCache/Content.Outlook/I6G90FHO/5%20Towers%20Electri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angxuan.Liu/Dropbox/UGA/Yangxuan%20Liu/Irrigation/Irrigation%20Budgets/Budget/2020.05.19/irrigation%20budget%20outline%20for%205%20towers%20diesel%20op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Tower Electric"/>
      <sheetName val="Cost Factor for Electric"/>
      <sheetName val="Sheet2"/>
    </sheetNames>
    <sheetDataSet>
      <sheetData sheetId="0"/>
      <sheetData sheetId="1"/>
      <sheetData sheetId="2">
        <row r="1">
          <cell r="B1" t="str">
            <v>None</v>
          </cell>
        </row>
        <row r="2">
          <cell r="B2" t="str">
            <v>Tensiometric</v>
          </cell>
        </row>
        <row r="3">
          <cell r="B3" t="str">
            <v>Capacitance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Tower Diesel"/>
      <sheetName val="Cost Factor for Diesel"/>
      <sheetName val="Sheet2"/>
    </sheetNames>
    <sheetDataSet>
      <sheetData sheetId="0"/>
      <sheetData sheetId="1"/>
      <sheetData sheetId="2">
        <row r="1">
          <cell r="B1" t="str">
            <v>None</v>
          </cell>
        </row>
        <row r="2">
          <cell r="B2" t="str">
            <v>Tensiometric</v>
          </cell>
        </row>
        <row r="3">
          <cell r="B3" t="str">
            <v>Capacitance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6"/>
  <sheetViews>
    <sheetView tabSelected="1" topLeftCell="A31" zoomScale="115" zoomScaleNormal="115" workbookViewId="0">
      <selection activeCell="B63" sqref="B63:H63"/>
    </sheetView>
  </sheetViews>
  <sheetFormatPr defaultRowHeight="14.5" x14ac:dyDescent="0.35"/>
  <cols>
    <col min="1" max="1" width="1.1796875" customWidth="1"/>
    <col min="2" max="2" width="29.08984375" customWidth="1"/>
    <col min="3" max="3" width="12.81640625" customWidth="1"/>
    <col min="4" max="4" width="14.81640625" customWidth="1"/>
    <col min="5" max="5" width="19.81640625" customWidth="1"/>
    <col min="6" max="6" width="17.453125" customWidth="1"/>
    <col min="7" max="7" width="17.81640625" customWidth="1"/>
    <col min="8" max="8" width="20.08984375" customWidth="1"/>
    <col min="9" max="9" width="28.453125" customWidth="1"/>
    <col min="10" max="10" width="15.6328125" customWidth="1"/>
    <col min="11" max="11" width="22.08984375" customWidth="1"/>
    <col min="12" max="12" width="12.6328125" customWidth="1"/>
  </cols>
  <sheetData>
    <row r="1" spans="2:12" x14ac:dyDescent="0.35">
      <c r="B1" s="94" t="s">
        <v>40</v>
      </c>
      <c r="C1" s="94"/>
      <c r="D1" s="94"/>
      <c r="E1" s="94"/>
      <c r="F1" s="94"/>
      <c r="G1" s="94"/>
      <c r="H1" s="94"/>
    </row>
    <row r="2" spans="2:12" x14ac:dyDescent="0.35">
      <c r="B2" s="94" t="s">
        <v>60</v>
      </c>
      <c r="C2" s="94"/>
      <c r="D2" s="94"/>
      <c r="E2" s="94"/>
      <c r="F2" s="94"/>
      <c r="G2" s="94"/>
      <c r="H2" s="94"/>
    </row>
    <row r="3" spans="2:12" ht="15" thickBot="1" x14ac:dyDescent="0.4">
      <c r="B3" s="19"/>
      <c r="C3" s="19"/>
      <c r="D3" s="19"/>
      <c r="E3" s="19"/>
      <c r="F3" s="19"/>
      <c r="G3" s="19"/>
      <c r="H3" s="19"/>
    </row>
    <row r="4" spans="2:12" ht="15.5" x14ac:dyDescent="0.35">
      <c r="B4" s="103" t="s">
        <v>26</v>
      </c>
      <c r="C4" s="104"/>
      <c r="D4" s="104"/>
      <c r="E4" s="104"/>
      <c r="F4" s="104"/>
      <c r="G4" s="105" t="s">
        <v>24</v>
      </c>
      <c r="H4" s="106"/>
      <c r="I4" s="7"/>
      <c r="J4" s="7"/>
    </row>
    <row r="5" spans="2:12" ht="16.5" x14ac:dyDescent="0.35">
      <c r="B5" s="101" t="s">
        <v>49</v>
      </c>
      <c r="C5" s="102"/>
      <c r="D5" s="102"/>
      <c r="E5" s="102"/>
      <c r="F5" s="102"/>
      <c r="G5" s="99" t="s">
        <v>30</v>
      </c>
      <c r="H5" s="100"/>
      <c r="I5" s="7"/>
      <c r="J5" s="7"/>
    </row>
    <row r="6" spans="2:12" ht="15.5" x14ac:dyDescent="0.35">
      <c r="B6" s="101" t="s">
        <v>55</v>
      </c>
      <c r="C6" s="102"/>
      <c r="D6" s="102"/>
      <c r="E6" s="102"/>
      <c r="F6" s="102"/>
      <c r="G6" s="82">
        <v>160</v>
      </c>
      <c r="H6" s="83" t="s">
        <v>53</v>
      </c>
      <c r="I6" s="7"/>
      <c r="J6" s="7"/>
    </row>
    <row r="7" spans="2:12" ht="15.5" x14ac:dyDescent="0.35">
      <c r="B7" s="101" t="s">
        <v>62</v>
      </c>
      <c r="C7" s="102"/>
      <c r="D7" s="102"/>
      <c r="E7" s="102"/>
      <c r="F7" s="102"/>
      <c r="G7" s="82">
        <v>73</v>
      </c>
      <c r="H7" s="83" t="s">
        <v>2</v>
      </c>
      <c r="I7" s="7"/>
      <c r="J7" s="7"/>
    </row>
    <row r="8" spans="2:12" ht="15.5" x14ac:dyDescent="0.35">
      <c r="B8" s="101" t="s">
        <v>59</v>
      </c>
      <c r="C8" s="102"/>
      <c r="D8" s="102"/>
      <c r="E8" s="102"/>
      <c r="F8" s="102"/>
      <c r="G8" s="82">
        <v>1</v>
      </c>
      <c r="H8" s="83" t="s">
        <v>54</v>
      </c>
      <c r="I8" s="7"/>
      <c r="J8" s="7"/>
    </row>
    <row r="9" spans="2:12" ht="16" thickBot="1" x14ac:dyDescent="0.4">
      <c r="B9" s="97" t="s">
        <v>56</v>
      </c>
      <c r="C9" s="98"/>
      <c r="D9" s="98"/>
      <c r="E9" s="98"/>
      <c r="F9" s="98"/>
      <c r="G9" s="84" t="str">
        <f>IF(G4="Corn",IF(G5="SMS Plus","10",IF(AND(G5="App Based"),"10","16")),IF(G4="Cotton",IF(G5="SMS Plus","5",IF(AND(G5="App Based"),"6","11")),IF(G4="Peanut",IF(G5="SMS Plus","6",IF(AND(G5="App Based"),"6","10")))))</f>
        <v>16</v>
      </c>
      <c r="H9" s="85" t="s">
        <v>54</v>
      </c>
      <c r="J9" s="7"/>
    </row>
    <row r="10" spans="2:12" x14ac:dyDescent="0.35">
      <c r="B10" s="20"/>
      <c r="C10" s="19"/>
      <c r="D10" s="19"/>
      <c r="E10" s="19"/>
      <c r="F10" s="19"/>
      <c r="G10" s="19"/>
      <c r="H10" s="19"/>
    </row>
    <row r="11" spans="2:12" ht="19" thickBot="1" x14ac:dyDescent="0.5">
      <c r="B11" s="21" t="s">
        <v>16</v>
      </c>
      <c r="C11" s="21"/>
      <c r="D11" s="21"/>
      <c r="E11" s="21"/>
      <c r="F11" s="22"/>
      <c r="G11" s="23"/>
      <c r="H11" s="23"/>
      <c r="I11" s="13"/>
      <c r="J11" s="13"/>
      <c r="K11" s="13"/>
      <c r="L11" s="4"/>
    </row>
    <row r="12" spans="2:12" ht="15.75" customHeight="1" x14ac:dyDescent="0.45">
      <c r="B12" s="24"/>
      <c r="C12" s="25" t="s">
        <v>19</v>
      </c>
      <c r="D12" s="25" t="s">
        <v>18</v>
      </c>
      <c r="E12" s="25" t="s">
        <v>15</v>
      </c>
      <c r="F12" s="25" t="s">
        <v>14</v>
      </c>
      <c r="G12" s="25" t="s">
        <v>13</v>
      </c>
      <c r="H12" s="26" t="s">
        <v>22</v>
      </c>
      <c r="I12" s="4"/>
      <c r="J12" s="11"/>
      <c r="K12" s="4"/>
      <c r="L12" s="2"/>
    </row>
    <row r="13" spans="2:12" ht="15.75" customHeight="1" thickBot="1" x14ac:dyDescent="0.5">
      <c r="B13" s="27"/>
      <c r="C13" s="28"/>
      <c r="D13" s="28"/>
      <c r="E13" s="28"/>
      <c r="F13" s="28"/>
      <c r="G13" s="28"/>
      <c r="H13" s="29" t="s">
        <v>23</v>
      </c>
      <c r="I13" s="4"/>
      <c r="J13" s="11"/>
      <c r="K13" s="4"/>
      <c r="L13" s="2"/>
    </row>
    <row r="14" spans="2:12" ht="18.5" x14ac:dyDescent="0.45">
      <c r="B14" s="30" t="s">
        <v>34</v>
      </c>
      <c r="C14" s="86">
        <v>20</v>
      </c>
      <c r="D14" s="86">
        <v>0</v>
      </c>
      <c r="E14" s="86">
        <v>500</v>
      </c>
      <c r="F14" s="87">
        <v>7.75</v>
      </c>
      <c r="G14" s="33">
        <f t="shared" ref="G14:G18" si="0">E14*F14</f>
        <v>3875</v>
      </c>
      <c r="H14" s="34">
        <f t="shared" ref="H14:H18" si="1">G14/$G$6</f>
        <v>24.21875</v>
      </c>
      <c r="J14" s="10"/>
      <c r="L14" s="6"/>
    </row>
    <row r="15" spans="2:12" ht="18.5" x14ac:dyDescent="0.45">
      <c r="B15" s="30" t="s">
        <v>57</v>
      </c>
      <c r="C15" s="88">
        <v>20</v>
      </c>
      <c r="D15" s="88">
        <v>0</v>
      </c>
      <c r="E15" s="86">
        <v>1</v>
      </c>
      <c r="F15" s="87">
        <v>105500</v>
      </c>
      <c r="G15" s="33">
        <f t="shared" si="0"/>
        <v>105500</v>
      </c>
      <c r="H15" s="34">
        <f t="shared" si="1"/>
        <v>659.375</v>
      </c>
      <c r="J15" s="10"/>
      <c r="L15" s="6"/>
    </row>
    <row r="16" spans="2:12" ht="18.5" x14ac:dyDescent="0.45">
      <c r="B16" s="30" t="s">
        <v>10</v>
      </c>
      <c r="C16" s="88">
        <v>15</v>
      </c>
      <c r="D16" s="88">
        <v>0</v>
      </c>
      <c r="E16" s="86">
        <v>1</v>
      </c>
      <c r="F16" s="87">
        <v>33000</v>
      </c>
      <c r="G16" s="33">
        <f t="shared" si="0"/>
        <v>33000</v>
      </c>
      <c r="H16" s="34">
        <f t="shared" si="1"/>
        <v>206.25</v>
      </c>
      <c r="J16" s="10"/>
      <c r="L16" s="6"/>
    </row>
    <row r="17" spans="2:12" ht="18.5" x14ac:dyDescent="0.45">
      <c r="B17" s="30" t="s">
        <v>9</v>
      </c>
      <c r="C17" s="88">
        <v>15</v>
      </c>
      <c r="D17" s="88">
        <v>0</v>
      </c>
      <c r="E17" s="86">
        <v>1</v>
      </c>
      <c r="F17" s="87">
        <v>17000</v>
      </c>
      <c r="G17" s="33">
        <f t="shared" si="0"/>
        <v>17000</v>
      </c>
      <c r="H17" s="34">
        <f t="shared" si="1"/>
        <v>106.25</v>
      </c>
      <c r="J17" s="10"/>
      <c r="L17" s="6"/>
    </row>
    <row r="18" spans="2:12" ht="18.5" x14ac:dyDescent="0.45">
      <c r="B18" s="30" t="s">
        <v>58</v>
      </c>
      <c r="C18" s="88">
        <v>20</v>
      </c>
      <c r="D18" s="88">
        <v>0</v>
      </c>
      <c r="E18" s="86">
        <v>1</v>
      </c>
      <c r="F18" s="87">
        <v>53000</v>
      </c>
      <c r="G18" s="33">
        <f t="shared" si="0"/>
        <v>53000</v>
      </c>
      <c r="H18" s="34">
        <f t="shared" si="1"/>
        <v>331.25</v>
      </c>
      <c r="J18" s="10"/>
      <c r="L18" s="6"/>
    </row>
    <row r="19" spans="2:12" ht="18.5" x14ac:dyDescent="0.45">
      <c r="B19" s="30" t="str">
        <f>IF(G5="SMS Plus","Soil Moisture Sensors",IF(AND(G5="Checkbook"),"",""))</f>
        <v/>
      </c>
      <c r="C19" s="88" t="str">
        <f>IF($B$19="Soil Moisture Sensors",(6)," ")</f>
        <v xml:space="preserve"> </v>
      </c>
      <c r="D19" s="88" t="str">
        <f>IF($B$19="Soil Moisture Sensors",(0)," ")</f>
        <v xml:space="preserve"> </v>
      </c>
      <c r="E19" s="88" t="str">
        <f>IF($B$19="Soil Moisture Sensors",(1)," ")</f>
        <v xml:space="preserve"> </v>
      </c>
      <c r="F19" s="87" t="str">
        <f>IF($B$19="Soil Moisture Sensors",600," ")</f>
        <v xml:space="preserve"> </v>
      </c>
      <c r="G19" s="33" t="str">
        <f>IF($B$19="Soil Moisture Sensors",(E19*F19),"")</f>
        <v/>
      </c>
      <c r="H19" s="34" t="str">
        <f>IF($B$19="Soil Moisture Sensors",(G19/$G$6),"")</f>
        <v/>
      </c>
      <c r="J19" s="12"/>
      <c r="L19" s="6"/>
    </row>
    <row r="20" spans="2:12" ht="19" thickBot="1" x14ac:dyDescent="0.5">
      <c r="B20" s="35" t="str">
        <f>IF(G5="SMS Plus","Base Station",IF(AND(G5="Checkbook"),"",""))</f>
        <v/>
      </c>
      <c r="C20" s="89" t="str">
        <f>IF($B$20="Base Station",(6)," ")</f>
        <v xml:space="preserve"> </v>
      </c>
      <c r="D20" s="89" t="str">
        <f>IF($B$20="Base Station",(0)," ")</f>
        <v xml:space="preserve"> </v>
      </c>
      <c r="E20" s="89" t="str">
        <f>IF($B$20="Base Station",(1)," ")</f>
        <v xml:space="preserve"> </v>
      </c>
      <c r="F20" s="87" t="str">
        <f>IF($B$20="Base Station",(2000)," ")</f>
        <v xml:space="preserve"> </v>
      </c>
      <c r="G20" s="33" t="str">
        <f>IF($B$20="Base Station",(E20*F20/2),"")</f>
        <v/>
      </c>
      <c r="H20" s="34" t="str">
        <f>IF($B$20="Base Station",(G20/$G$6),"")</f>
        <v/>
      </c>
      <c r="J20" s="12"/>
      <c r="L20" s="6"/>
    </row>
    <row r="21" spans="2:12" ht="19" thickBot="1" x14ac:dyDescent="0.5">
      <c r="B21" s="36" t="s">
        <v>36</v>
      </c>
      <c r="C21" s="37"/>
      <c r="D21" s="38"/>
      <c r="E21" s="39"/>
      <c r="F21" s="39"/>
      <c r="G21" s="40">
        <f>SUM(G14:G20)</f>
        <v>212375</v>
      </c>
      <c r="H21" s="41">
        <f>SUM(H14:H20)</f>
        <v>1327.34375</v>
      </c>
      <c r="J21" s="14"/>
    </row>
    <row r="22" spans="2:12" x14ac:dyDescent="0.35">
      <c r="B22" s="42"/>
      <c r="C22" s="42"/>
      <c r="D22" s="42"/>
      <c r="E22" s="23"/>
      <c r="F22" s="23"/>
      <c r="G22" s="23"/>
      <c r="H22" s="23"/>
      <c r="I22" s="1"/>
      <c r="J22" s="1"/>
    </row>
    <row r="23" spans="2:12" ht="19" thickBot="1" x14ac:dyDescent="0.5">
      <c r="B23" s="43" t="s">
        <v>7</v>
      </c>
      <c r="C23" s="43"/>
      <c r="D23" s="43"/>
      <c r="E23" s="44"/>
      <c r="F23" s="44"/>
      <c r="G23" s="44"/>
      <c r="H23" s="23"/>
      <c r="I23" s="12"/>
      <c r="J23" s="12"/>
    </row>
    <row r="24" spans="2:12" x14ac:dyDescent="0.35">
      <c r="B24" s="45"/>
      <c r="C24" s="46"/>
      <c r="D24" s="47" t="s">
        <v>46</v>
      </c>
      <c r="E24" s="47" t="s">
        <v>47</v>
      </c>
      <c r="F24" s="47" t="s">
        <v>48</v>
      </c>
      <c r="G24" s="48" t="s">
        <v>7</v>
      </c>
      <c r="H24" s="49" t="s">
        <v>20</v>
      </c>
      <c r="I24" s="4"/>
      <c r="J24" s="4"/>
    </row>
    <row r="25" spans="2:12" ht="15" thickBot="1" x14ac:dyDescent="0.4">
      <c r="B25" s="50"/>
      <c r="C25" s="44"/>
      <c r="D25" s="51"/>
      <c r="E25" s="90">
        <v>0.08</v>
      </c>
      <c r="F25" s="90">
        <v>2.5000000000000001E-2</v>
      </c>
      <c r="G25" s="52"/>
      <c r="H25" s="53" t="s">
        <v>21</v>
      </c>
      <c r="I25" s="4"/>
      <c r="J25" s="4"/>
    </row>
    <row r="26" spans="2:12" x14ac:dyDescent="0.35">
      <c r="B26" s="30" t="s">
        <v>12</v>
      </c>
      <c r="C26" s="23"/>
      <c r="D26" s="33">
        <f>(G14-D14)/C14</f>
        <v>193.75</v>
      </c>
      <c r="E26" s="33">
        <f>(((G14+D14)/2))*$E$25</f>
        <v>155</v>
      </c>
      <c r="F26" s="33">
        <f>(((G14+D14)/2))*$F$25</f>
        <v>48.4375</v>
      </c>
      <c r="G26" s="33">
        <f>SUM(D26:F26)</f>
        <v>397.1875</v>
      </c>
      <c r="H26" s="54">
        <f t="shared" ref="H26:H30" si="2">G26/$G$6</f>
        <v>2.482421875</v>
      </c>
      <c r="I26" s="4"/>
      <c r="J26" s="4"/>
    </row>
    <row r="27" spans="2:12" x14ac:dyDescent="0.35">
      <c r="B27" s="55" t="s">
        <v>11</v>
      </c>
      <c r="C27" s="23"/>
      <c r="D27" s="33">
        <f>(G15-D15)/C15</f>
        <v>5275</v>
      </c>
      <c r="E27" s="33">
        <f>(((G15+D15)/2))*$E$25</f>
        <v>4220</v>
      </c>
      <c r="F27" s="33">
        <f>(((G15+D15)/2))*$F$25</f>
        <v>1318.75</v>
      </c>
      <c r="G27" s="33">
        <f t="shared" ref="G27:G29" si="3">SUM(D27:F27)</f>
        <v>10813.75</v>
      </c>
      <c r="H27" s="34">
        <f t="shared" si="2"/>
        <v>67.5859375</v>
      </c>
      <c r="I27" s="4"/>
      <c r="J27" s="4"/>
      <c r="K27" s="4"/>
      <c r="L27" s="4"/>
    </row>
    <row r="28" spans="2:12" x14ac:dyDescent="0.35">
      <c r="B28" s="55" t="str">
        <f>B16</f>
        <v>Pump</v>
      </c>
      <c r="C28" s="23"/>
      <c r="D28" s="33">
        <f>(G16-D16)/C16</f>
        <v>2200</v>
      </c>
      <c r="E28" s="33">
        <f>((G16+D16)/2)*$E$25</f>
        <v>1320</v>
      </c>
      <c r="F28" s="33">
        <f>(((G16+D16)/2))*$F$25</f>
        <v>412.5</v>
      </c>
      <c r="G28" s="33">
        <f t="shared" si="3"/>
        <v>3932.5</v>
      </c>
      <c r="H28" s="34">
        <f t="shared" si="2"/>
        <v>24.578125</v>
      </c>
      <c r="I28" s="4"/>
      <c r="J28" s="4"/>
      <c r="K28" s="4"/>
      <c r="L28" s="4"/>
    </row>
    <row r="29" spans="2:12" x14ac:dyDescent="0.35">
      <c r="B29" s="55" t="str">
        <f>B17</f>
        <v>Power Unit</v>
      </c>
      <c r="C29" s="23"/>
      <c r="D29" s="33">
        <f>(G17-D17)/C17</f>
        <v>1133.3333333333333</v>
      </c>
      <c r="E29" s="33">
        <f>((G17+D17)/2)*$E$25</f>
        <v>680</v>
      </c>
      <c r="F29" s="33">
        <f>(((G17+D17)/2))*$F$25</f>
        <v>212.5</v>
      </c>
      <c r="G29" s="33">
        <f t="shared" si="3"/>
        <v>2025.8333333333333</v>
      </c>
      <c r="H29" s="34">
        <f t="shared" si="2"/>
        <v>12.661458333333332</v>
      </c>
      <c r="I29" s="4"/>
      <c r="J29" s="4"/>
      <c r="K29" s="4"/>
      <c r="L29" s="4"/>
    </row>
    <row r="30" spans="2:12" x14ac:dyDescent="0.35">
      <c r="B30" s="55" t="s">
        <v>8</v>
      </c>
      <c r="C30" s="23"/>
      <c r="D30" s="33">
        <f t="shared" ref="D30" si="4">(G18-D18)/C18</f>
        <v>2650</v>
      </c>
      <c r="E30" s="33">
        <f>((G18+D18)/2)*$E$25</f>
        <v>2120</v>
      </c>
      <c r="F30" s="33">
        <f>(((G18+D18)/2))*$F$25</f>
        <v>662.5</v>
      </c>
      <c r="G30" s="33">
        <f>SUM(D30:F30)</f>
        <v>5432.5</v>
      </c>
      <c r="H30" s="34">
        <f t="shared" si="2"/>
        <v>33.953125</v>
      </c>
      <c r="I30" s="4"/>
      <c r="J30" s="4"/>
      <c r="K30" s="4"/>
      <c r="L30" s="4"/>
    </row>
    <row r="31" spans="2:12" x14ac:dyDescent="0.35">
      <c r="B31" s="55" t="str">
        <f>B19</f>
        <v/>
      </c>
      <c r="C31" s="23"/>
      <c r="D31" s="33" t="str">
        <f>IF($B$31="Soil Moisture Sensors",((G19-D19)/C19)," ")</f>
        <v xml:space="preserve"> </v>
      </c>
      <c r="E31" s="33" t="str">
        <f>IF($B$31="Soil Moisture Sensors",((G19+D19)/2)*$E$25," ")</f>
        <v xml:space="preserve"> </v>
      </c>
      <c r="F31" s="33" t="str">
        <f>IF($B$31="Soil Moisture Sensors",(((G19+D19)/2))*$F$25," ")</f>
        <v xml:space="preserve"> </v>
      </c>
      <c r="G31" s="33" t="str">
        <f>IF($B$19="Soil Moisture Sensors",SUM(D31:F31)," ")</f>
        <v xml:space="preserve"> </v>
      </c>
      <c r="H31" s="34" t="str">
        <f>IF($B$19="Soil Moisture Sensors",G31/$G$6," ")</f>
        <v xml:space="preserve"> </v>
      </c>
      <c r="I31" s="4"/>
      <c r="J31" s="4"/>
      <c r="K31" s="4"/>
      <c r="L31" s="4"/>
    </row>
    <row r="32" spans="2:12" ht="15" thickBot="1" x14ac:dyDescent="0.4">
      <c r="B32" s="50" t="str">
        <f>B20</f>
        <v/>
      </c>
      <c r="C32" s="44"/>
      <c r="D32" s="33" t="str">
        <f>IF($B$31="Soil Moisture Sensors",((G20-D20)/C20)," ")</f>
        <v xml:space="preserve"> </v>
      </c>
      <c r="E32" s="33" t="str">
        <f>IF($B$32="Base Station",((G20+D20)/2)*$E$25," ")</f>
        <v xml:space="preserve"> </v>
      </c>
      <c r="F32" s="33" t="str">
        <f>IF($B$32="Base Station",(((G20+D20)/2))*$F$25," ")</f>
        <v xml:space="preserve"> </v>
      </c>
      <c r="G32" s="33" t="str">
        <f>IF($B$32="Base Station",SUM(D32:F32)," ")</f>
        <v xml:space="preserve"> </v>
      </c>
      <c r="H32" s="34" t="str">
        <f>IF($B$32="Base Station",G32/$G$6," ")</f>
        <v xml:space="preserve"> </v>
      </c>
      <c r="I32" s="4"/>
      <c r="J32" s="4"/>
      <c r="K32" s="4"/>
      <c r="L32" s="4"/>
    </row>
    <row r="33" spans="2:12" ht="15" thickBot="1" x14ac:dyDescent="0.4">
      <c r="B33" s="56" t="s">
        <v>6</v>
      </c>
      <c r="C33" s="39"/>
      <c r="D33" s="39"/>
      <c r="E33" s="39"/>
      <c r="F33" s="57"/>
      <c r="G33" s="40">
        <f>SUM(G26:G32)</f>
        <v>22601.770833333332</v>
      </c>
      <c r="H33" s="41">
        <f>SUM(H26:H32)</f>
        <v>141.26106770833331</v>
      </c>
      <c r="I33" s="4"/>
      <c r="J33" s="4"/>
      <c r="K33" s="4"/>
      <c r="L33" s="4"/>
    </row>
    <row r="34" spans="2:12" ht="18.5" x14ac:dyDescent="0.45">
      <c r="B34" s="42"/>
      <c r="C34" s="42"/>
      <c r="D34" s="42"/>
      <c r="E34" s="23"/>
      <c r="F34" s="23"/>
      <c r="G34" s="23"/>
      <c r="H34" s="23"/>
      <c r="I34" s="12"/>
      <c r="J34" s="12"/>
      <c r="K34" s="12"/>
      <c r="L34" s="12"/>
    </row>
    <row r="35" spans="2:12" ht="19" thickBot="1" x14ac:dyDescent="0.5">
      <c r="B35" s="43" t="s">
        <v>5</v>
      </c>
      <c r="C35" s="43"/>
      <c r="D35" s="43"/>
      <c r="E35" s="58"/>
      <c r="F35" s="58"/>
      <c r="G35" s="58"/>
      <c r="H35" s="59"/>
      <c r="I35" s="15"/>
      <c r="J35" s="15"/>
      <c r="K35" s="15"/>
      <c r="L35" s="16"/>
    </row>
    <row r="36" spans="2:12" x14ac:dyDescent="0.35">
      <c r="B36" s="60"/>
      <c r="C36" s="46"/>
      <c r="F36" s="61" t="s">
        <v>5</v>
      </c>
      <c r="G36" s="61" t="s">
        <v>5</v>
      </c>
      <c r="H36" s="62" t="s">
        <v>5</v>
      </c>
      <c r="I36" s="4"/>
      <c r="J36" s="4"/>
      <c r="K36" s="4"/>
      <c r="L36" s="4"/>
    </row>
    <row r="37" spans="2:12" ht="15" thickBot="1" x14ac:dyDescent="0.4">
      <c r="B37" s="35"/>
      <c r="C37" s="44"/>
      <c r="D37" s="63"/>
      <c r="E37" s="64"/>
      <c r="F37" s="64"/>
      <c r="G37" s="52" t="s">
        <v>37</v>
      </c>
      <c r="H37" s="65" t="s">
        <v>3</v>
      </c>
    </row>
    <row r="38" spans="2:12" x14ac:dyDescent="0.35">
      <c r="B38" s="30" t="s">
        <v>45</v>
      </c>
      <c r="C38" s="23"/>
      <c r="D38" s="23"/>
      <c r="E38" s="33"/>
      <c r="F38" s="33">
        <f>IF(G5="SMS Plus", G14*'Cost Factors'!C3+G15*'Cost Factors'!C4+G16*'Cost Factors'!C5+G17*'Cost Factors'!C6+G18*'Cost Factors'!C7+G19*'Cost Factors'!C8+G20*'Cost Factors'!C9, G14*'Cost Factors'!C3+G15*'Cost Factors'!C4+G16*'Cost Factors'!C5+G17*'Cost Factors'!C6+G18*'Cost Factors'!C7)</f>
        <v>1272.5</v>
      </c>
      <c r="G38" s="33">
        <f>F38/$G$6</f>
        <v>7.953125</v>
      </c>
      <c r="H38" s="34">
        <f>G38/$G$9</f>
        <v>0.4970703125</v>
      </c>
    </row>
    <row r="39" spans="2:12" x14ac:dyDescent="0.35">
      <c r="B39" s="30"/>
      <c r="C39" s="23"/>
      <c r="D39" s="81" t="s">
        <v>4</v>
      </c>
      <c r="E39" s="68" t="s">
        <v>41</v>
      </c>
      <c r="F39" s="68"/>
      <c r="G39" s="79"/>
      <c r="H39" s="80"/>
    </row>
    <row r="40" spans="2:12" x14ac:dyDescent="0.35">
      <c r="B40" s="30" t="s">
        <v>44</v>
      </c>
      <c r="C40" s="23"/>
      <c r="D40" s="86">
        <v>60</v>
      </c>
      <c r="E40" s="87">
        <v>0.1326</v>
      </c>
      <c r="F40" s="33">
        <f>D40*E40*$G$7*$G$9/G8*0.746</f>
        <v>6932.2855680000002</v>
      </c>
      <c r="G40" s="33">
        <f>F40/$G$6</f>
        <v>43.326784799999999</v>
      </c>
      <c r="H40" s="34">
        <f>G40/$G$9</f>
        <v>2.7079240499999999</v>
      </c>
    </row>
    <row r="41" spans="2:12" x14ac:dyDescent="0.35">
      <c r="B41" s="30"/>
      <c r="C41" s="23"/>
      <c r="D41" s="31"/>
      <c r="E41" s="32"/>
      <c r="F41" s="33"/>
      <c r="G41" s="33"/>
      <c r="H41" s="34"/>
    </row>
    <row r="42" spans="2:12" x14ac:dyDescent="0.35">
      <c r="B42" s="30"/>
      <c r="C42" s="23"/>
      <c r="D42" s="78" t="s">
        <v>2</v>
      </c>
      <c r="E42" s="78" t="s">
        <v>1</v>
      </c>
      <c r="F42" s="33"/>
      <c r="G42" s="33"/>
      <c r="H42" s="34"/>
    </row>
    <row r="43" spans="2:12" x14ac:dyDescent="0.35">
      <c r="B43" s="30" t="s">
        <v>42</v>
      </c>
      <c r="C43" s="23"/>
      <c r="D43" s="91">
        <f>17/60</f>
        <v>0.28333333333333333</v>
      </c>
      <c r="E43" s="87">
        <v>13.25</v>
      </c>
      <c r="F43" s="33">
        <f>D43*E43*$G$9</f>
        <v>60.066666666666663</v>
      </c>
      <c r="G43" s="33">
        <f>F43/$G$6</f>
        <v>0.37541666666666662</v>
      </c>
      <c r="H43" s="34">
        <f>G43/$G$9</f>
        <v>2.3463541666666664E-2</v>
      </c>
    </row>
    <row r="44" spans="2:12" ht="15" thickBot="1" x14ac:dyDescent="0.4">
      <c r="B44" s="35" t="s">
        <v>43</v>
      </c>
      <c r="C44" s="44"/>
      <c r="D44" s="92">
        <f>IF(G5="SMS Plus",IF(AND(G4="Cotton"),(18.75),IF(AND(G4="Peanut"),(17.5),IF(AND(G4="Corn"),(15)))),IF(AND(G5="Checkbook"),IF(AND(G4="Cotton"),(12.5),IF(AND(G4="Peanut"),(11.67),IF(AND(G4="Corn"),(10)))),IF(AND(G5="App Based"),IF(AND(G4="Cotton"),(12.5),IF(AND(G4="Peanut"),(11.67),IF(AND(G4="Corn"),(10)))))))</f>
        <v>10</v>
      </c>
      <c r="E44" s="93">
        <v>34.21</v>
      </c>
      <c r="F44" s="66">
        <f>D44*E44</f>
        <v>342.1</v>
      </c>
      <c r="G44" s="66">
        <f>F44/$G$6</f>
        <v>2.1381250000000001</v>
      </c>
      <c r="H44" s="34">
        <f>G44/$G$9</f>
        <v>0.1336328125</v>
      </c>
    </row>
    <row r="45" spans="2:12" ht="15" thickBot="1" x14ac:dyDescent="0.4">
      <c r="B45" s="67" t="s">
        <v>0</v>
      </c>
      <c r="C45" s="39"/>
      <c r="D45" s="39"/>
      <c r="E45" s="39"/>
      <c r="F45" s="40">
        <f>SUM(F38:F44)</f>
        <v>8606.9522346666672</v>
      </c>
      <c r="G45" s="40">
        <f>SUM(G38:G44)</f>
        <v>53.793451466666667</v>
      </c>
      <c r="H45" s="41">
        <f>SUM(H38:H44)</f>
        <v>3.3620907166666667</v>
      </c>
    </row>
    <row r="46" spans="2:12" x14ac:dyDescent="0.35">
      <c r="B46" s="42"/>
      <c r="C46" s="23"/>
      <c r="D46" s="23"/>
      <c r="E46" s="23"/>
      <c r="F46" s="68"/>
      <c r="G46" s="68"/>
      <c r="H46" s="68"/>
    </row>
    <row r="47" spans="2:12" ht="15" thickBot="1" x14ac:dyDescent="0.4">
      <c r="B47" s="42" t="s">
        <v>28</v>
      </c>
      <c r="C47" s="23"/>
      <c r="D47" s="23"/>
      <c r="E47" s="23"/>
      <c r="F47" s="68"/>
      <c r="G47" s="68"/>
      <c r="H47" s="68"/>
    </row>
    <row r="48" spans="2:12" ht="15" thickBot="1" x14ac:dyDescent="0.4">
      <c r="B48" s="69"/>
      <c r="C48" s="39"/>
      <c r="D48" s="39"/>
      <c r="E48" s="39"/>
      <c r="F48" s="72" t="s">
        <v>51</v>
      </c>
      <c r="G48" s="70" t="s">
        <v>38</v>
      </c>
      <c r="H48" s="73" t="s">
        <v>27</v>
      </c>
    </row>
    <row r="49" spans="2:12" ht="15" thickBot="1" x14ac:dyDescent="0.4">
      <c r="B49" s="74" t="s">
        <v>6</v>
      </c>
      <c r="C49" s="39"/>
      <c r="D49" s="39"/>
      <c r="E49" s="39"/>
      <c r="F49" s="40">
        <f>G33</f>
        <v>22601.770833333332</v>
      </c>
      <c r="G49" s="40">
        <f>H33</f>
        <v>141.26106770833331</v>
      </c>
      <c r="H49" s="75"/>
    </row>
    <row r="50" spans="2:12" ht="15" thickBot="1" x14ac:dyDescent="0.4">
      <c r="B50" s="74" t="s">
        <v>0</v>
      </c>
      <c r="C50" s="39"/>
      <c r="D50" s="39"/>
      <c r="E50" s="39"/>
      <c r="F50" s="40">
        <f>F45</f>
        <v>8606.9522346666672</v>
      </c>
      <c r="G50" s="40">
        <f>G45</f>
        <v>53.793451466666667</v>
      </c>
      <c r="H50" s="76">
        <f>H45</f>
        <v>3.3620907166666667</v>
      </c>
    </row>
    <row r="51" spans="2:12" ht="15" thickBot="1" x14ac:dyDescent="0.4">
      <c r="B51" s="67" t="s">
        <v>50</v>
      </c>
      <c r="C51" s="39"/>
      <c r="D51" s="39"/>
      <c r="E51" s="39"/>
      <c r="F51" s="40">
        <f>SUM(F49:F50)</f>
        <v>31208.723067999999</v>
      </c>
      <c r="G51" s="40">
        <f>SUM(G49:G50)</f>
        <v>195.054519175</v>
      </c>
      <c r="H51" s="77"/>
    </row>
    <row r="53" spans="2:12" ht="14.5" customHeight="1" x14ac:dyDescent="0.35">
      <c r="B53" s="95" t="s">
        <v>52</v>
      </c>
      <c r="C53" s="95"/>
      <c r="D53" s="95"/>
      <c r="E53" s="95"/>
      <c r="F53" s="95"/>
      <c r="G53" s="95"/>
      <c r="H53" s="95"/>
    </row>
    <row r="54" spans="2:12" x14ac:dyDescent="0.35">
      <c r="B54" s="96"/>
      <c r="C54" s="96"/>
      <c r="D54" s="96"/>
      <c r="E54" s="96"/>
      <c r="F54" s="96"/>
      <c r="G54" s="96"/>
      <c r="H54" s="96"/>
    </row>
    <row r="55" spans="2:12" x14ac:dyDescent="0.35">
      <c r="B55" s="71"/>
      <c r="C55" s="71"/>
      <c r="D55" s="71"/>
      <c r="E55" s="71"/>
      <c r="F55" s="71"/>
      <c r="G55" s="71"/>
      <c r="H55" s="71"/>
    </row>
    <row r="56" spans="2:12" x14ac:dyDescent="0.35">
      <c r="B56" s="108" t="s">
        <v>39</v>
      </c>
      <c r="C56" s="108"/>
      <c r="D56" s="108"/>
      <c r="E56" s="108"/>
      <c r="F56" s="108"/>
      <c r="G56" s="108"/>
      <c r="H56" s="108"/>
    </row>
    <row r="57" spans="2:12" x14ac:dyDescent="0.35">
      <c r="B57" s="108"/>
      <c r="C57" s="108"/>
      <c r="D57" s="108"/>
      <c r="E57" s="108"/>
      <c r="F57" s="108"/>
      <c r="G57" s="108"/>
      <c r="H57" s="108"/>
    </row>
    <row r="58" spans="2:12" ht="9" customHeight="1" x14ac:dyDescent="0.35">
      <c r="B58" s="108"/>
      <c r="C58" s="108"/>
      <c r="D58" s="108"/>
      <c r="E58" s="108"/>
      <c r="F58" s="108"/>
      <c r="G58" s="108"/>
      <c r="H58" s="108"/>
    </row>
    <row r="59" spans="2:12" ht="9" customHeight="1" x14ac:dyDescent="0.35">
      <c r="B59" s="108" t="s">
        <v>61</v>
      </c>
      <c r="C59" s="108"/>
      <c r="D59" s="108"/>
      <c r="E59" s="108"/>
      <c r="F59" s="108"/>
      <c r="G59" s="108"/>
      <c r="H59" s="108"/>
    </row>
    <row r="60" spans="2:12" ht="20.5" customHeight="1" x14ac:dyDescent="0.35">
      <c r="B60" s="108"/>
      <c r="C60" s="108"/>
      <c r="D60" s="108"/>
      <c r="E60" s="108"/>
      <c r="F60" s="108"/>
      <c r="G60" s="108"/>
      <c r="H60" s="108"/>
    </row>
    <row r="61" spans="2:12" ht="14.5" customHeight="1" x14ac:dyDescent="0.35">
      <c r="B61" s="108" t="s">
        <v>63</v>
      </c>
      <c r="C61" s="108"/>
      <c r="D61" s="108"/>
      <c r="E61" s="108"/>
      <c r="F61" s="108"/>
      <c r="G61" s="108"/>
      <c r="H61" s="108"/>
    </row>
    <row r="62" spans="2:12" x14ac:dyDescent="0.35">
      <c r="B62" s="108"/>
      <c r="C62" s="108"/>
      <c r="D62" s="108"/>
      <c r="E62" s="108"/>
      <c r="F62" s="108"/>
      <c r="G62" s="108"/>
      <c r="H62" s="108"/>
    </row>
    <row r="63" spans="2:12" ht="24.5" customHeight="1" x14ac:dyDescent="0.35">
      <c r="B63" s="107" t="s">
        <v>64</v>
      </c>
      <c r="C63" s="107"/>
      <c r="D63" s="107"/>
      <c r="E63" s="107"/>
      <c r="F63" s="107"/>
      <c r="G63" s="107"/>
      <c r="H63" s="107"/>
      <c r="I63" s="17"/>
      <c r="J63" s="17"/>
      <c r="K63" s="17"/>
      <c r="L63" s="17"/>
    </row>
    <row r="64" spans="2:12" x14ac:dyDescent="0.35">
      <c r="B64" s="109"/>
      <c r="C64" s="109"/>
      <c r="D64" s="109"/>
      <c r="E64" s="109"/>
      <c r="F64" s="109"/>
      <c r="G64" s="109"/>
      <c r="H64" s="109"/>
    </row>
    <row r="65" spans="2:12" x14ac:dyDescent="0.35">
      <c r="B65" s="109"/>
      <c r="C65" s="109"/>
      <c r="D65" s="109"/>
      <c r="E65" s="109"/>
      <c r="F65" s="109"/>
      <c r="G65" s="109"/>
      <c r="H65" s="109"/>
    </row>
    <row r="66" spans="2:12" x14ac:dyDescent="0.35">
      <c r="B66" s="107"/>
      <c r="C66" s="107"/>
      <c r="D66" s="107"/>
      <c r="E66" s="107"/>
      <c r="F66" s="107"/>
      <c r="G66" s="107"/>
      <c r="H66" s="107"/>
      <c r="I66" s="17"/>
      <c r="J66" s="17"/>
      <c r="K66" s="17"/>
      <c r="L66" s="17"/>
    </row>
  </sheetData>
  <mergeCells count="18">
    <mergeCell ref="B66:H66"/>
    <mergeCell ref="B61:H62"/>
    <mergeCell ref="B7:F7"/>
    <mergeCell ref="B5:F5"/>
    <mergeCell ref="B63:H63"/>
    <mergeCell ref="B64:H64"/>
    <mergeCell ref="B65:H65"/>
    <mergeCell ref="B56:H58"/>
    <mergeCell ref="B59:H60"/>
    <mergeCell ref="B8:F8"/>
    <mergeCell ref="B1:H1"/>
    <mergeCell ref="B53:H54"/>
    <mergeCell ref="B2:H2"/>
    <mergeCell ref="B9:F9"/>
    <mergeCell ref="G5:H5"/>
    <mergeCell ref="B6:F6"/>
    <mergeCell ref="B4:F4"/>
    <mergeCell ref="G4:H4"/>
  </mergeCells>
  <dataValidations count="2">
    <dataValidation type="list" allowBlank="1" showInputMessage="1" showErrorMessage="1" sqref="G5">
      <formula1>Sched3</formula1>
    </dataValidation>
    <dataValidation type="list" allowBlank="1" showInputMessage="1" showErrorMessage="1" sqref="G4:H4">
      <formula1>Crop</formula1>
    </dataValidation>
  </dataValidations>
  <pageMargins left="0.7" right="0.7" top="0.75" bottom="0.75" header="0.3" footer="0.3"/>
  <pageSetup scale="67" orientation="portrait" horizontalDpi="300" verticalDpi="300" r:id="rId1"/>
  <headerFooter>
    <oddFooter>&amp;LAg and Applied Economics, 12/2020&amp;R&amp;G</oddFooter>
  </headerFooter>
  <ignoredErrors>
    <ignoredError sqref="E31:H31" formula="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election activeCell="O13" sqref="O13"/>
    </sheetView>
  </sheetViews>
  <sheetFormatPr defaultRowHeight="14.5" x14ac:dyDescent="0.35"/>
  <cols>
    <col min="2" max="2" width="23.90625" bestFit="1" customWidth="1"/>
    <col min="3" max="3" width="14" customWidth="1"/>
  </cols>
  <sheetData>
    <row r="2" spans="2:3" ht="18.5" x14ac:dyDescent="0.45">
      <c r="C2" s="9" t="s">
        <v>17</v>
      </c>
    </row>
    <row r="3" spans="2:3" ht="18.5" x14ac:dyDescent="0.45">
      <c r="B3" s="3" t="s">
        <v>12</v>
      </c>
      <c r="C3" s="8">
        <v>0</v>
      </c>
    </row>
    <row r="4" spans="2:3" ht="18.5" x14ac:dyDescent="0.45">
      <c r="B4" s="3" t="s">
        <v>11</v>
      </c>
      <c r="C4" s="8">
        <v>5.0000000000000001E-3</v>
      </c>
    </row>
    <row r="5" spans="2:3" ht="18.5" x14ac:dyDescent="0.45">
      <c r="B5" s="3" t="s">
        <v>10</v>
      </c>
      <c r="C5" s="8">
        <v>0.02</v>
      </c>
    </row>
    <row r="6" spans="2:3" ht="18.5" x14ac:dyDescent="0.45">
      <c r="B6" s="3" t="s">
        <v>9</v>
      </c>
      <c r="C6" s="8">
        <v>5.0000000000000001E-3</v>
      </c>
    </row>
    <row r="7" spans="2:3" ht="18.5" x14ac:dyDescent="0.45">
      <c r="B7" s="3" t="s">
        <v>8</v>
      </c>
      <c r="C7" s="8">
        <v>0</v>
      </c>
    </row>
    <row r="8" spans="2:3" ht="18.5" x14ac:dyDescent="0.45">
      <c r="B8" s="18" t="s">
        <v>35</v>
      </c>
      <c r="C8" s="8">
        <v>0</v>
      </c>
    </row>
    <row r="9" spans="2:3" ht="18.5" x14ac:dyDescent="0.45">
      <c r="B9" s="5" t="s">
        <v>33</v>
      </c>
      <c r="C9" s="8">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
  <sheetViews>
    <sheetView workbookViewId="0">
      <selection activeCell="H21" sqref="H21"/>
    </sheetView>
  </sheetViews>
  <sheetFormatPr defaultRowHeight="14.5" x14ac:dyDescent="0.35"/>
  <sheetData>
    <row r="1" spans="2:2" x14ac:dyDescent="0.35">
      <c r="B1" t="s">
        <v>30</v>
      </c>
    </row>
    <row r="2" spans="2:2" x14ac:dyDescent="0.35">
      <c r="B2" t="s">
        <v>31</v>
      </c>
    </row>
    <row r="3" spans="2:2" x14ac:dyDescent="0.35">
      <c r="B3" t="s">
        <v>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5" sqref="A5"/>
    </sheetView>
  </sheetViews>
  <sheetFormatPr defaultRowHeight="14.5" x14ac:dyDescent="0.35"/>
  <sheetData>
    <row r="1" spans="1:1" x14ac:dyDescent="0.35">
      <c r="A1" t="s">
        <v>24</v>
      </c>
    </row>
    <row r="2" spans="1:1" x14ac:dyDescent="0.35">
      <c r="A2" t="s">
        <v>25</v>
      </c>
    </row>
    <row r="3" spans="1:1" x14ac:dyDescent="0.35">
      <c r="A3" t="s">
        <v>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14674968E4EDC49BC762519B2C12477" ma:contentTypeVersion="10" ma:contentTypeDescription="Create a new document." ma:contentTypeScope="" ma:versionID="d5a7965ac965213258b7c23e1ac05852">
  <xsd:schema xmlns:xsd="http://www.w3.org/2001/XMLSchema" xmlns:xs="http://www.w3.org/2001/XMLSchema" xmlns:p="http://schemas.microsoft.com/office/2006/metadata/properties" xmlns:ns1="http://schemas.microsoft.com/sharepoint/v3" xmlns:ns3="ffb9740e-ff0d-4b6c-906c-ebebdc67e7cf" xmlns:ns4="e9af2f2d-498b-4454-9578-1ad3184f4ea3" targetNamespace="http://schemas.microsoft.com/office/2006/metadata/properties" ma:root="true" ma:fieldsID="abf26ed0efe6334dfbdfaccfea354963" ns1:_="" ns3:_="" ns4:_="">
    <xsd:import namespace="http://schemas.microsoft.com/sharepoint/v3"/>
    <xsd:import namespace="ffb9740e-ff0d-4b6c-906c-ebebdc67e7cf"/>
    <xsd:import namespace="e9af2f2d-498b-4454-9578-1ad3184f4ea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1:_ip_UnifiedCompliancePolicyProperties" minOccurs="0"/>
                <xsd:element ref="ns1:_ip_UnifiedCompliancePolicyUIAction" minOccurs="0"/>
                <xsd:element ref="ns4:MediaServiceAutoTag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b9740e-ff0d-4b6c-906c-ebebdc67e7c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af2f2d-498b-4454-9578-1ad3184f4ea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23C5B1A2-0497-4A4C-9DB9-ACD580AD0EC2}">
  <ds:schemaRefs>
    <ds:schemaRef ds:uri="http://schemas.microsoft.com/sharepoint/v3/contenttype/forms"/>
  </ds:schemaRefs>
</ds:datastoreItem>
</file>

<file path=customXml/itemProps2.xml><?xml version="1.0" encoding="utf-8"?>
<ds:datastoreItem xmlns:ds="http://schemas.openxmlformats.org/officeDocument/2006/customXml" ds:itemID="{9DDDF442-39CC-45D9-AAD7-AE6A00116D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fb9740e-ff0d-4b6c-906c-ebebdc67e7cf"/>
    <ds:schemaRef ds:uri="e9af2f2d-498b-4454-9578-1ad3184f4e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FC2A2B-FCAD-4190-8815-D299F8A5FDF1}">
  <ds:schemaRefs>
    <ds:schemaRef ds:uri="e9af2f2d-498b-4454-9578-1ad3184f4ea3"/>
    <ds:schemaRef ds:uri="http://purl.org/dc/dcmitype/"/>
    <ds:schemaRef ds:uri="http://schemas.microsoft.com/sharepoint/v3"/>
    <ds:schemaRef ds:uri="http://purl.org/dc/terms/"/>
    <ds:schemaRef ds:uri="http://schemas.openxmlformats.org/package/2006/metadata/core-properties"/>
    <ds:schemaRef ds:uri="http://purl.org/dc/elements/1.1/"/>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ffb9740e-ff0d-4b6c-906c-ebebdc67e7c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8 Towers Electric</vt:lpstr>
      <vt:lpstr>Cost Factors</vt:lpstr>
      <vt:lpstr>Sheet2</vt:lpstr>
      <vt:lpstr>Sheet1</vt:lpstr>
      <vt:lpstr>Crop</vt:lpstr>
      <vt:lpstr>'8 Towers Electric'!Print_Area</vt:lpstr>
      <vt:lpstr>Sched3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ankul bhattari</dc:creator>
  <cp:lastModifiedBy>Yangxuan Liu</cp:lastModifiedBy>
  <cp:lastPrinted>2020-10-20T20:04:25Z</cp:lastPrinted>
  <dcterms:created xsi:type="dcterms:W3CDTF">2019-07-05T18:46:17Z</dcterms:created>
  <dcterms:modified xsi:type="dcterms:W3CDTF">2020-11-16T03:39:53Z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0x010100B14674968E4EDC49BC762519B2C12477</vt:lpwstr>
  </property>
</Properties>
</file>