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gfonsah\OneDrive - University of Georgia\Document\Veg Budgets\2022\Final Budgets\"/>
    </mc:Choice>
  </mc:AlternateContent>
  <xr:revisionPtr revIDLastSave="1" documentId="8_{ECDAD627-FFE1-4E50-903D-9C539AED6D8F}" xr6:coauthVersionLast="36" xr6:coauthVersionMax="36" xr10:uidLastSave="{32531418-D57C-489F-89EF-DDFA06B82A27}"/>
  <bookViews>
    <workbookView xWindow="0" yWindow="0" windowWidth="10632" windowHeight="3720" xr2:uid="{00000000-000D-0000-FFFF-FFFF00000000}"/>
  </bookViews>
  <sheets>
    <sheet name="Main" sheetId="1" r:id="rId1"/>
    <sheet name="Irrigation" sheetId="2" r:id="rId2"/>
    <sheet name="Fixed_Cost" sheetId="3" r:id="rId3"/>
    <sheet name="Fixed_Payment" sheetId="4" r:id="rId4"/>
  </sheets>
  <definedNames>
    <definedName name="\AUTOEXEC">Main!$U$259:$U$261</definedName>
    <definedName name="AFC">Fixed_Cost!$A$1</definedName>
    <definedName name="AFP">Fixed_Payment!$A$1</definedName>
    <definedName name="AGVAR">#N/A</definedName>
    <definedName name="BREAKEVEN">#N/A</definedName>
    <definedName name="ENR">Main!$P$160:$P$160</definedName>
    <definedName name="ENR_MNR">Main!$P$161:$P$161</definedName>
    <definedName name="ETR">Main!$N$159:$N$159</definedName>
    <definedName name="EXPDATA">Main!$O$169:$X$169</definedName>
    <definedName name="EXPP">Main!$P$141:$P$141</definedName>
    <definedName name="EXPY">Main!$N$141:$N$141</definedName>
    <definedName name="FC">Fixed_Cost!$B$3:$I$29</definedName>
    <definedName name="FP">Fixed_Payment!$B$3:$H$40</definedName>
    <definedName name="IRR">Irrigation!$B$3:$H$39</definedName>
    <definedName name="IRRIGATION">Irrigation!$A$1</definedName>
    <definedName name="MEDP">Main!$F$17:$F$17</definedName>
    <definedName name="MEDY">Main!$F$16:$F$16</definedName>
    <definedName name="MNR">Main!$N$161:$N$161</definedName>
    <definedName name="MTC">Main!$P$159:$P$159</definedName>
    <definedName name="MTR">Main!$N$160:$N$160</definedName>
    <definedName name="PAGE1">Main!$B$12:$J$51</definedName>
    <definedName name="PAGE2">Main!$B$55:$J$98</definedName>
    <definedName name="RISK">#N/A</definedName>
    <definedName name="STRHH">Main!$N$155:$N$155</definedName>
    <definedName name="STRHL">Main!$N$156:$N$156</definedName>
    <definedName name="STRLH">Main!$P$156:$P$156</definedName>
    <definedName name="STRLL">Main!$P$155:$P$155</definedName>
    <definedName name="STRO">Main!$N$157:$N$157</definedName>
    <definedName name="STRP">Main!$P$157:$P$157</definedName>
    <definedName name="TITLE1">#N/A</definedName>
    <definedName name="TITLE2">#N/A</definedName>
    <definedName name="TITLE3">#N/A</definedName>
    <definedName name="TITLE4">#N/A</definedName>
    <definedName name="TITLE5">#N/A</definedName>
    <definedName name="TITLE6">#N/A</definedName>
    <definedName name="TOP">#N/A</definedName>
    <definedName name="UNIT">Main!$G$13:$G$13</definedName>
    <definedName name="UNITCOST">Main!$I$63:$I$63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8" i="4"/>
  <c r="D17" i="4" l="1"/>
  <c r="C17" i="4"/>
  <c r="H17" i="4" s="1"/>
  <c r="D16" i="4"/>
  <c r="H16" i="4" s="1"/>
  <c r="C16" i="4"/>
  <c r="D15" i="4"/>
  <c r="C15" i="4"/>
  <c r="D14" i="4"/>
  <c r="H14" i="4" s="1"/>
  <c r="C14" i="4"/>
  <c r="D13" i="4"/>
  <c r="C13" i="4"/>
  <c r="D12" i="4"/>
  <c r="H12" i="4" s="1"/>
  <c r="C12" i="4"/>
  <c r="D11" i="4"/>
  <c r="H11" i="4" s="1"/>
  <c r="C11" i="4"/>
  <c r="D10" i="4"/>
  <c r="C10" i="4"/>
  <c r="H9" i="4"/>
  <c r="C9" i="4"/>
  <c r="H8" i="4"/>
  <c r="C8" i="4"/>
  <c r="E23" i="3"/>
  <c r="F21" i="3"/>
  <c r="J21" i="3" s="1"/>
  <c r="J20" i="3"/>
  <c r="I20" i="3"/>
  <c r="H20" i="3"/>
  <c r="F20" i="3"/>
  <c r="I19" i="3"/>
  <c r="F19" i="3"/>
  <c r="H19" i="3" s="1"/>
  <c r="F18" i="3"/>
  <c r="I18" i="3" s="1"/>
  <c r="F17" i="3"/>
  <c r="J17" i="3" s="1"/>
  <c r="J16" i="3"/>
  <c r="I16" i="3"/>
  <c r="H16" i="3"/>
  <c r="F16" i="3"/>
  <c r="F15" i="3"/>
  <c r="H15" i="3" s="1"/>
  <c r="F14" i="3"/>
  <c r="I14" i="3" s="1"/>
  <c r="F13" i="3"/>
  <c r="J13" i="3" s="1"/>
  <c r="F12" i="3"/>
  <c r="J12" i="3" s="1"/>
  <c r="F32" i="2"/>
  <c r="F34" i="2" s="1"/>
  <c r="H35" i="2" s="1"/>
  <c r="D19" i="2"/>
  <c r="F29" i="2" s="1"/>
  <c r="H29" i="2" s="1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O169" i="1"/>
  <c r="P134" i="1"/>
  <c r="N134" i="1"/>
  <c r="P133" i="1"/>
  <c r="N133" i="1"/>
  <c r="P132" i="1"/>
  <c r="N158" i="1" s="1"/>
  <c r="N132" i="1"/>
  <c r="P158" i="1" s="1"/>
  <c r="P131" i="1"/>
  <c r="N131" i="1"/>
  <c r="P130" i="1"/>
  <c r="N130" i="1"/>
  <c r="N129" i="1"/>
  <c r="F107" i="1"/>
  <c r="H80" i="1"/>
  <c r="F80" i="1"/>
  <c r="D80" i="1"/>
  <c r="C80" i="1"/>
  <c r="E70" i="1"/>
  <c r="G47" i="1"/>
  <c r="I47" i="1" s="1"/>
  <c r="G46" i="1"/>
  <c r="I46" i="1" s="1"/>
  <c r="G45" i="1"/>
  <c r="J45" i="1" s="1"/>
  <c r="J38" i="1"/>
  <c r="I38" i="1"/>
  <c r="J37" i="1"/>
  <c r="I37" i="1"/>
  <c r="I36" i="1"/>
  <c r="J36" i="1" s="1"/>
  <c r="I35" i="1"/>
  <c r="J35" i="1" s="1"/>
  <c r="J34" i="1"/>
  <c r="I34" i="1"/>
  <c r="J33" i="1"/>
  <c r="I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J24" i="1"/>
  <c r="I24" i="1"/>
  <c r="I23" i="1"/>
  <c r="J23" i="1" s="1"/>
  <c r="I22" i="1"/>
  <c r="J22" i="1" s="1"/>
  <c r="H24" i="2" l="1"/>
  <c r="G19" i="2"/>
  <c r="H15" i="4"/>
  <c r="H18" i="3"/>
  <c r="K18" i="3" s="1"/>
  <c r="J18" i="3"/>
  <c r="J14" i="3"/>
  <c r="H14" i="3"/>
  <c r="K14" i="3" s="1"/>
  <c r="I12" i="3"/>
  <c r="H12" i="3"/>
  <c r="I15" i="3"/>
  <c r="K16" i="3"/>
  <c r="H19" i="2"/>
  <c r="H39" i="2"/>
  <c r="H39" i="1" s="1"/>
  <c r="I39" i="1" s="1"/>
  <c r="J39" i="1" s="1"/>
  <c r="K20" i="3"/>
  <c r="H13" i="4"/>
  <c r="F19" i="2"/>
  <c r="H10" i="4"/>
  <c r="J47" i="1"/>
  <c r="P141" i="1"/>
  <c r="Q169" i="1" s="1"/>
  <c r="J80" i="1"/>
  <c r="I45" i="1"/>
  <c r="G48" i="1" s="1"/>
  <c r="I48" i="1" s="1"/>
  <c r="J46" i="1"/>
  <c r="N141" i="1"/>
  <c r="H13" i="3"/>
  <c r="J15" i="3"/>
  <c r="K15" i="3" s="1"/>
  <c r="H17" i="3"/>
  <c r="J19" i="3"/>
  <c r="K19" i="3" s="1"/>
  <c r="H21" i="3"/>
  <c r="I13" i="3"/>
  <c r="I17" i="3"/>
  <c r="I21" i="3"/>
  <c r="F23" i="3"/>
  <c r="H26" i="3" s="1"/>
  <c r="H33" i="4" s="1"/>
  <c r="K12" i="3"/>
  <c r="H21" i="2" l="1"/>
  <c r="H23" i="2" s="1"/>
  <c r="H59" i="1" s="1"/>
  <c r="I59" i="1" s="1"/>
  <c r="J59" i="1" s="1"/>
  <c r="G40" i="1"/>
  <c r="I40" i="1" s="1"/>
  <c r="J40" i="1" s="1"/>
  <c r="H20" i="4"/>
  <c r="H31" i="4" s="1"/>
  <c r="H34" i="4" s="1"/>
  <c r="H35" i="4" s="1"/>
  <c r="J23" i="3"/>
  <c r="I23" i="3"/>
  <c r="K21" i="3"/>
  <c r="H25" i="3"/>
  <c r="P143" i="1"/>
  <c r="P145" i="1" s="1"/>
  <c r="P142" i="1"/>
  <c r="P144" i="1" s="1"/>
  <c r="J48" i="1"/>
  <c r="H49" i="1"/>
  <c r="I49" i="1"/>
  <c r="I69" i="1" s="1"/>
  <c r="N135" i="1" s="1"/>
  <c r="K13" i="3"/>
  <c r="H23" i="3"/>
  <c r="H28" i="3" s="1"/>
  <c r="H29" i="3" s="1"/>
  <c r="H58" i="1" s="1"/>
  <c r="I58" i="1" s="1"/>
  <c r="N143" i="1"/>
  <c r="N145" i="1" s="1"/>
  <c r="P169" i="1"/>
  <c r="N142" i="1"/>
  <c r="N144" i="1" s="1"/>
  <c r="N159" i="1"/>
  <c r="K17" i="3"/>
  <c r="I41" i="1" l="1"/>
  <c r="I68" i="1" s="1"/>
  <c r="K23" i="3"/>
  <c r="N147" i="1"/>
  <c r="N149" i="1" s="1"/>
  <c r="N155" i="1" s="1"/>
  <c r="U169" i="1" s="1"/>
  <c r="J49" i="1"/>
  <c r="N148" i="1"/>
  <c r="N150" i="1" s="1"/>
  <c r="N156" i="1" s="1"/>
  <c r="V169" i="1" s="1"/>
  <c r="P148" i="1"/>
  <c r="P150" i="1" s="1"/>
  <c r="P156" i="1" s="1"/>
  <c r="X169" i="1" s="1"/>
  <c r="P147" i="1"/>
  <c r="P149" i="1" s="1"/>
  <c r="J58" i="1"/>
  <c r="I51" i="1" l="1"/>
  <c r="J51" i="1" s="1"/>
  <c r="J41" i="1"/>
  <c r="G60" i="1"/>
  <c r="I60" i="1" s="1"/>
  <c r="N151" i="1"/>
  <c r="N157" i="1" s="1"/>
  <c r="S169" i="1" s="1"/>
  <c r="P155" i="1"/>
  <c r="W169" i="1" s="1"/>
  <c r="P151" i="1"/>
  <c r="P157" i="1" s="1"/>
  <c r="J60" i="1" l="1"/>
  <c r="I61" i="1"/>
  <c r="T169" i="1"/>
  <c r="N160" i="1"/>
  <c r="I70" i="1" l="1"/>
  <c r="J61" i="1"/>
  <c r="I63" i="1"/>
  <c r="N136" i="1"/>
  <c r="P159" i="1" s="1"/>
  <c r="P160" i="1" s="1"/>
  <c r="N161" i="1" l="1"/>
  <c r="I94" i="1"/>
  <c r="E94" i="1"/>
  <c r="D94" i="1"/>
  <c r="F94" i="1"/>
  <c r="J94" i="1"/>
  <c r="H94" i="1"/>
  <c r="G94" i="1"/>
  <c r="I71" i="1"/>
  <c r="I72" i="1"/>
  <c r="J63" i="1"/>
  <c r="R169" i="1"/>
  <c r="J98" i="1"/>
  <c r="X164" i="1" l="1"/>
  <c r="Y164" i="1" s="1"/>
  <c r="AD164" i="1" s="1"/>
  <c r="AE164" i="1" s="1"/>
  <c r="N165" i="1"/>
  <c r="O165" i="1" s="1"/>
  <c r="T165" i="1" s="1"/>
  <c r="AT163" i="1"/>
  <c r="AU163" i="1" s="1"/>
  <c r="AZ163" i="1" s="1"/>
  <c r="BA163" i="1" s="1"/>
  <c r="N163" i="1"/>
  <c r="O163" i="1" s="1"/>
  <c r="T163" i="1" s="1"/>
  <c r="U163" i="1" s="1"/>
  <c r="P161" i="1"/>
  <c r="X165" i="1"/>
  <c r="Y165" i="1" s="1"/>
  <c r="AD165" i="1" s="1"/>
  <c r="AF165" i="1" s="1"/>
  <c r="N164" i="1"/>
  <c r="O164" i="1" s="1"/>
  <c r="T164" i="1" s="1"/>
  <c r="X163" i="1"/>
  <c r="Y163" i="1" s="1"/>
  <c r="AD163" i="1" s="1"/>
  <c r="AF163" i="1" s="1"/>
  <c r="AT165" i="1"/>
  <c r="AU165" i="1" s="1"/>
  <c r="AZ165" i="1" s="1"/>
  <c r="BB165" i="1" s="1"/>
  <c r="Z163" i="1" l="1"/>
  <c r="AB163" i="1" s="1"/>
  <c r="Z164" i="1"/>
  <c r="AA164" i="1" s="1"/>
  <c r="U165" i="1"/>
  <c r="V165" i="1"/>
  <c r="U164" i="1"/>
  <c r="V164" i="1"/>
  <c r="AE165" i="1"/>
  <c r="AG165" i="1" s="1"/>
  <c r="BA165" i="1"/>
  <c r="BC165" i="1" s="1"/>
  <c r="P163" i="1"/>
  <c r="Q163" i="1" s="1"/>
  <c r="AE163" i="1"/>
  <c r="AG163" i="1" s="1"/>
  <c r="AV163" i="1"/>
  <c r="AW163" i="1" s="1"/>
  <c r="P164" i="1"/>
  <c r="V163" i="1"/>
  <c r="W163" i="1" s="1"/>
  <c r="D96" i="1" s="1"/>
  <c r="Z165" i="1"/>
  <c r="AV165" i="1"/>
  <c r="P165" i="1"/>
  <c r="AF164" i="1"/>
  <c r="AG164" i="1" s="1"/>
  <c r="BB163" i="1"/>
  <c r="BC163" i="1" s="1"/>
  <c r="W165" i="1" l="1"/>
  <c r="J96" i="1" s="1"/>
  <c r="W164" i="1"/>
  <c r="AB164" i="1"/>
  <c r="AC164" i="1" s="1"/>
  <c r="AA163" i="1"/>
  <c r="AC163" i="1" s="1"/>
  <c r="AX163" i="1"/>
  <c r="AY163" i="1" s="1"/>
  <c r="D95" i="1"/>
  <c r="Q165" i="1"/>
  <c r="R165" i="1"/>
  <c r="AB165" i="1"/>
  <c r="AA165" i="1"/>
  <c r="R164" i="1"/>
  <c r="Q164" i="1"/>
  <c r="AX165" i="1"/>
  <c r="AW165" i="1"/>
  <c r="R163" i="1"/>
  <c r="S163" i="1" s="1"/>
  <c r="E96" i="1"/>
  <c r="E95" i="1"/>
  <c r="I95" i="1"/>
  <c r="I96" i="1"/>
  <c r="J95" i="1" l="1"/>
  <c r="AC165" i="1"/>
  <c r="E98" i="1" s="1"/>
  <c r="S165" i="1"/>
  <c r="AY165" i="1"/>
  <c r="S164" i="1"/>
  <c r="F95" i="1"/>
  <c r="F96" i="1"/>
  <c r="H95" i="1"/>
  <c r="H96" i="1"/>
  <c r="G96" i="1" l="1"/>
  <c r="G95" i="1"/>
</calcChain>
</file>

<file path=xl/sharedStrings.xml><?xml version="1.0" encoding="utf-8"?>
<sst xmlns="http://schemas.openxmlformats.org/spreadsheetml/2006/main" count="454" uniqueCount="246">
  <si>
    <t xml:space="preserve">Prepared by:  </t>
  </si>
  <si>
    <t xml:space="preserve">           Esendugue Greg Fonsah, Justin Shealey and Scott Carlson</t>
  </si>
  <si>
    <t xml:space="preserve">            Ext. Ag. Econ. Dept., Echols and Tift County Extension, University of Georgia</t>
  </si>
  <si>
    <t/>
  </si>
  <si>
    <t>INPUT DATA: Your values in the unprotected or highlighted cells</t>
  </si>
  <si>
    <t>THE IS BUDGET IS INTERACTIVE</t>
  </si>
  <si>
    <t>(Cash Flow Budget)</t>
  </si>
  <si>
    <t xml:space="preserve"> Number of acres </t>
  </si>
  <si>
    <t>BEST</t>
  </si>
  <si>
    <t>OPT</t>
  </si>
  <si>
    <t>MEDIAN</t>
  </si>
  <si>
    <t>PESS</t>
  </si>
  <si>
    <t>WORST</t>
  </si>
  <si>
    <t>Yield (25 lbs cartons)</t>
  </si>
  <si>
    <t>$ Price (+ cooling)</t>
  </si>
  <si>
    <t>Item</t>
  </si>
  <si>
    <t>Unit</t>
  </si>
  <si>
    <t>Quantity</t>
  </si>
  <si>
    <t>Price</t>
  </si>
  <si>
    <t>Amt/acre</t>
  </si>
  <si>
    <t>Total</t>
  </si>
  <si>
    <t>Yours</t>
  </si>
  <si>
    <t>Variable Costs</t>
  </si>
  <si>
    <t>Plants</t>
  </si>
  <si>
    <t>Thou</t>
  </si>
  <si>
    <t>_______</t>
  </si>
  <si>
    <t>Lime and gypsum</t>
  </si>
  <si>
    <t>Ton</t>
  </si>
  <si>
    <t>Fertilizer granular</t>
  </si>
  <si>
    <t>Fertilizer liquid</t>
  </si>
  <si>
    <t>Mulch, plastic black 1/</t>
  </si>
  <si>
    <t>Roll 4000'</t>
  </si>
  <si>
    <t>Fumigation</t>
  </si>
  <si>
    <t>Acre</t>
  </si>
  <si>
    <t>Insecticide 2/</t>
  </si>
  <si>
    <t>Appl</t>
  </si>
  <si>
    <t>Fungicide</t>
  </si>
  <si>
    <t>Herbicide</t>
  </si>
  <si>
    <t>Stakes</t>
  </si>
  <si>
    <t>String</t>
  </si>
  <si>
    <t>Labor, mach operation</t>
  </si>
  <si>
    <t>Hr</t>
  </si>
  <si>
    <t>Labor, production transplant</t>
  </si>
  <si>
    <t>Crop Insurance</t>
  </si>
  <si>
    <t>Consultant</t>
  </si>
  <si>
    <t>Cleanup (plastic &amp; stakes)</t>
  </si>
  <si>
    <t>Machinery</t>
  </si>
  <si>
    <t>Irrigation</t>
  </si>
  <si>
    <t>Interest on Oper. Cap.</t>
  </si>
  <si>
    <t>$</t>
  </si>
  <si>
    <t>PreHarvest Variable Costs</t>
  </si>
  <si>
    <t>Harvest and Marketing Costs</t>
  </si>
  <si>
    <t>Picking and hauling</t>
  </si>
  <si>
    <t>Crt</t>
  </si>
  <si>
    <t>Grading and packing</t>
  </si>
  <si>
    <t xml:space="preserve">Container </t>
  </si>
  <si>
    <t>Marketing</t>
  </si>
  <si>
    <t>{WINDOWSOFF}</t>
  </si>
  <si>
    <t>Total Harvest and Marketing</t>
  </si>
  <si>
    <t>{CALC}</t>
  </si>
  <si>
    <t>/OP~-~A10:H45~GQ~</t>
  </si>
  <si>
    <t>Total Variable Costs</t>
  </si>
  <si>
    <t>{GOTO}</t>
  </si>
  <si>
    <t xml:space="preserve">1/- Dissel would cost about $100 per acre  </t>
  </si>
  <si>
    <t>A1~</t>
  </si>
  <si>
    <t>FIXED COSTS: Press Button  for Calculation of Annual Debt Payment)</t>
  </si>
  <si>
    <t xml:space="preserve">Annual Fixed Cost </t>
  </si>
  <si>
    <t>Overhead and Management</t>
  </si>
  <si>
    <t>Total Fixed Costs</t>
  </si>
  <si>
    <t xml:space="preserve"> </t>
  </si>
  <si>
    <t>Total budgeted cost per acre</t>
  </si>
  <si>
    <t>Costs Per Cwt.</t>
  </si>
  <si>
    <t>Preharvest variable cost per box ($)</t>
  </si>
  <si>
    <t>Harvest &amp; marketing cost per box ($).</t>
  </si>
  <si>
    <t>Fixed Outlays per box ($).</t>
  </si>
  <si>
    <t>Total budgeted cost per cwt.($)</t>
  </si>
  <si>
    <t>BE Yield per acre (cartons) (lbs.)</t>
  </si>
  <si>
    <t xml:space="preserve">                 EXPECTED RETURNS FROM TOTAL ACREAGE</t>
  </si>
  <si>
    <t>EXPECTED</t>
  </si>
  <si>
    <t>VOLUME</t>
  </si>
  <si>
    <t>TOTAL</t>
  </si>
  <si>
    <t>ACRES</t>
  </si>
  <si>
    <t>YIELD/AC</t>
  </si>
  <si>
    <t>MARKETED</t>
  </si>
  <si>
    <t>PRICE</t>
  </si>
  <si>
    <t>RETURNS</t>
  </si>
  <si>
    <t>RISK RATED RETURNS OVER CASH FLOW COSTS</t>
  </si>
  <si>
    <t>Net return levels (TOP ROW);</t>
  </si>
  <si>
    <t>The chances of obtaining this level or more (MIDDLE ROW); and</t>
  </si>
  <si>
    <t>The chances of obtaining this level or less (BOTTOM ROW).</t>
  </si>
  <si>
    <t>Best</t>
  </si>
  <si>
    <t>Opt</t>
  </si>
  <si>
    <t>Opt.</t>
  </si>
  <si>
    <t>Expected</t>
  </si>
  <si>
    <t>Pess</t>
  </si>
  <si>
    <t xml:space="preserve">  Pess</t>
  </si>
  <si>
    <t>Worst</t>
  </si>
  <si>
    <t>Returns($)</t>
  </si>
  <si>
    <t>Chances</t>
  </si>
  <si>
    <t xml:space="preserve">CHANCES FOR PROFIT </t>
  </si>
  <si>
    <t xml:space="preserve">  BASE BUDGETED NET REVENUE </t>
  </si>
  <si>
    <t>Price Sensitivity Expected Returns Over Total Costs Per Acre</t>
  </si>
  <si>
    <t>% Chance</t>
  </si>
  <si>
    <t>of Profit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</si>
  <si>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</si>
  <si>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</si>
  <si>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</si>
  <si>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</si>
  <si>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*</t>
  </si>
  <si>
    <t xml:space="preserve">    Must match budget Entries</t>
  </si>
  <si>
    <t>-</t>
  </si>
  <si>
    <t xml:space="preserve">  ACRES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</si>
  <si>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</si>
  <si>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</si>
  <si>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</si>
  <si>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</si>
  <si>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</si>
  <si>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</si>
  <si>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</si>
  <si>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</si>
  <si>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</si>
  <si>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</si>
  <si>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</si>
  <si>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</si>
  <si>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</si>
  <si>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</si>
  <si>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</si>
  <si>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</si>
  <si>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</si>
  <si>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</si>
  <si>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</si>
  <si>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</si>
  <si>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</si>
  <si>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</si>
  <si>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</si>
  <si>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</si>
  <si>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</si>
  <si>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</si>
  <si>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</si>
  <si>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</si>
  <si>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</si>
  <si>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</si>
  <si>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</si>
  <si>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</si>
  <si>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</si>
  <si>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</si>
  <si>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</si>
  <si>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        RISK RATED RETURNS OVER TOTAL COSTS</t>
  </si>
  <si>
    <t xml:space="preserve">  MP</t>
  </si>
  <si>
    <t xml:space="preserve">  MY</t>
  </si>
  <si>
    <t xml:space="preserve">  ETR</t>
  </si>
  <si>
    <t xml:space="preserve">  MTC</t>
  </si>
  <si>
    <t xml:space="preserve">  MTR</t>
  </si>
  <si>
    <t xml:space="preserve">  ENR</t>
  </si>
  <si>
    <t xml:space="preserve">  MNR</t>
  </si>
  <si>
    <t xml:space="preserve">  ENR-MNR</t>
  </si>
  <si>
    <t>EXPDATA</t>
  </si>
  <si>
    <t>GROWERS ARE EXPECTED TO INPUT THEIR ACTUAL DATA HERE</t>
  </si>
  <si>
    <t>ACRES IN SYSTEM</t>
  </si>
  <si>
    <t>INTEREST RATE</t>
  </si>
  <si>
    <t>Row width in feet</t>
  </si>
  <si>
    <t>Price of tubing ($/ft)</t>
  </si>
  <si>
    <t>INVESTMENT</t>
  </si>
  <si>
    <t>YRS.</t>
  </si>
  <si>
    <t>DEPREC.</t>
  </si>
  <si>
    <t>INTEREST</t>
  </si>
  <si>
    <t>TAXES &amp; INS.</t>
  </si>
  <si>
    <t>Pipe &amp; Fittings</t>
  </si>
  <si>
    <t>Tubing</t>
  </si>
  <si>
    <t>WELL (8 inches)</t>
  </si>
  <si>
    <t>Pump &amp; motor</t>
  </si>
  <si>
    <t>Filter &amp; auto</t>
  </si>
  <si>
    <t>Storage tanks</t>
  </si>
  <si>
    <t>Installation</t>
  </si>
  <si>
    <t>TOTAL ANNUAL FIXED COSTS</t>
  </si>
  <si>
    <t>TOTAL ANNUAL FIXED COSTS PER ACRE</t>
  </si>
  <si>
    <t>TOTAL ANNUAL DEBT PAYMENT PER ACRE</t>
  </si>
  <si>
    <t>OPERATING COSTS</t>
  </si>
  <si>
    <t>MOTOR SIZE (HP)</t>
  </si>
  <si>
    <t>REPAIRS</t>
  </si>
  <si>
    <t>ANNUAL PUMPING HOURS</t>
  </si>
  <si>
    <t>ELECTRICITY</t>
  </si>
  <si>
    <t xml:space="preserve">  Demand (standby charge) per YEAR</t>
  </si>
  <si>
    <t xml:space="preserve">  Rate $ per KWH</t>
  </si>
  <si>
    <t>ANNUAL ENERGY COST</t>
  </si>
  <si>
    <t>ANNUAL ENERGY COST PER ACRE</t>
  </si>
  <si>
    <t>OPERATING COST PER ACRE PER YEAR</t>
  </si>
  <si>
    <t>Investment and Annual Fixed Costs</t>
  </si>
  <si>
    <t>Number of acres of this crop</t>
  </si>
  <si>
    <t xml:space="preserve">Interest rate </t>
  </si>
  <si>
    <t>% of time for</t>
  </si>
  <si>
    <t>Salvage</t>
  </si>
  <si>
    <t>Yrs. of</t>
  </si>
  <si>
    <t>This crop</t>
  </si>
  <si>
    <t>Cost</t>
  </si>
  <si>
    <t>Value</t>
  </si>
  <si>
    <t>Life</t>
  </si>
  <si>
    <t>Depr.</t>
  </si>
  <si>
    <t>Int.</t>
  </si>
  <si>
    <t>Tax&amp;Ins</t>
  </si>
  <si>
    <t>FC/Ac.</t>
  </si>
  <si>
    <t>Tractors (100 hp)</t>
  </si>
  <si>
    <t>Plow (6 row bedder))</t>
  </si>
  <si>
    <t>Disk (24')</t>
  </si>
  <si>
    <t>Subsoiler</t>
  </si>
  <si>
    <t>Transplanter</t>
  </si>
  <si>
    <t>Cultivator (6 row)</t>
  </si>
  <si>
    <t xml:space="preserve">Sprayer (18 row boom) </t>
  </si>
  <si>
    <t>Tillovator (6 row)</t>
  </si>
  <si>
    <t>_______________</t>
  </si>
  <si>
    <t>Interest on Investment (Ave. Inv. X Int. Rate)</t>
  </si>
  <si>
    <t>Taxes and Insurance (Ave. Inv. X .014)</t>
  </si>
  <si>
    <t>Total Annual Fixed Costs</t>
  </si>
  <si>
    <t>Total Annual Fixed Costs Per Acre</t>
  </si>
  <si>
    <t>(For Use In Calculating Debt Payments on New Investment)</t>
  </si>
  <si>
    <t>Financing</t>
  </si>
  <si>
    <t>Calc. Yr.</t>
  </si>
  <si>
    <t>ITEM</t>
  </si>
  <si>
    <t>Amount</t>
  </si>
  <si>
    <t>Years</t>
  </si>
  <si>
    <t>Int.Rate</t>
  </si>
  <si>
    <t>Payment</t>
  </si>
  <si>
    <t>Tractors</t>
  </si>
  <si>
    <t>Plow</t>
  </si>
  <si>
    <t>Disk</t>
  </si>
  <si>
    <t>Appl. Herb</t>
  </si>
  <si>
    <t>Plant</t>
  </si>
  <si>
    <t>Cultivator</t>
  </si>
  <si>
    <t>Sprayer</t>
  </si>
  <si>
    <t>Calculated Total Annual Debt Payment</t>
  </si>
  <si>
    <t>Current Annual Debt Payments: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</si>
  <si>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</si>
  <si>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</si>
  <si>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</si>
  <si>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</si>
  <si>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</si>
  <si>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</si>
  <si>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</si>
  <si>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Taxes and Insurance</t>
  </si>
  <si>
    <t>Total Annual Fixed Outlay</t>
  </si>
  <si>
    <t>Total Annual Fixed Outlay Per Acre</t>
  </si>
  <si>
    <t>$-Price/Yield</t>
  </si>
  <si>
    <t xml:space="preserve">                   </t>
  </si>
  <si>
    <t>Debt Payment Calculation on New Investment:</t>
  </si>
  <si>
    <t>2022 - Tomato on Plastic Budget - Fall Planting</t>
  </si>
  <si>
    <t xml:space="preserve">Equipment Costs for Tomatoe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</si>
</sst>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.00"/>
    <numFmt numFmtId="165" formatCode="\_x0004_;;;"/>
    <numFmt numFmtId="166" formatCode="[$$-409]\ #,##0"/>
  </numFmts>
  <fonts count="17" x14ac:knownFonts="1">
    <font>
      <sz val="10"/>
      <name val="Arial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sz val="12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0" xfId="0" applyNumberFormat="1" applyFill="1"/>
    <xf numFmtId="2" fontId="1" fillId="0" borderId="0" xfId="0" applyNumberFormat="1" applyFont="1" applyFill="1" applyAlignment="1">
      <alignment horizontal="centerContinuous"/>
    </xf>
    <xf numFmtId="2" fontId="2" fillId="0" borderId="0" xfId="0" applyNumberFormat="1" applyFont="1" applyFill="1"/>
    <xf numFmtId="2" fontId="0" fillId="0" borderId="0" xfId="0" applyNumberFormat="1" applyFill="1"/>
    <xf numFmtId="0" fontId="1" fillId="0" borderId="0" xfId="0" applyFont="1" applyFill="1" applyAlignment="1">
      <alignment horizontal="centerContinuous"/>
    </xf>
    <xf numFmtId="2" fontId="4" fillId="0" borderId="0" xfId="0" applyNumberFormat="1" applyFont="1" applyFill="1"/>
    <xf numFmtId="2" fontId="5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left"/>
    </xf>
    <xf numFmtId="2" fontId="0" fillId="0" borderId="0" xfId="0" applyNumberForma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2" fontId="8" fillId="0" borderId="0" xfId="0" applyNumberFormat="1" applyFont="1" applyFill="1" applyBorder="1"/>
    <xf numFmtId="2" fontId="9" fillId="0" borderId="0" xfId="0" applyNumberFormat="1" applyFont="1" applyFill="1"/>
    <xf numFmtId="3" fontId="6" fillId="0" borderId="0" xfId="0" applyNumberFormat="1" applyFont="1" applyFill="1" applyAlignment="1">
      <alignment horizontal="centerContinuous"/>
    </xf>
    <xf numFmtId="1" fontId="0" fillId="0" borderId="0" xfId="0" applyNumberFormat="1" applyFill="1"/>
    <xf numFmtId="2" fontId="8" fillId="0" borderId="0" xfId="0" applyNumberFormat="1" applyFont="1" applyFill="1"/>
    <xf numFmtId="3" fontId="8" fillId="0" borderId="0" xfId="0" applyNumberFormat="1" applyFont="1" applyFill="1"/>
    <xf numFmtId="2" fontId="6" fillId="0" borderId="0" xfId="0" applyNumberFormat="1" applyFont="1" applyFill="1"/>
    <xf numFmtId="2" fontId="6" fillId="0" borderId="2" xfId="0" applyNumberFormat="1" applyFont="1" applyFill="1" applyBorder="1"/>
    <xf numFmtId="3" fontId="6" fillId="0" borderId="2" xfId="0" applyNumberFormat="1" applyFont="1" applyFill="1" applyBorder="1"/>
    <xf numFmtId="2" fontId="8" fillId="0" borderId="3" xfId="0" applyNumberFormat="1" applyFont="1" applyFill="1" applyBorder="1"/>
    <xf numFmtId="2" fontId="10" fillId="0" borderId="0" xfId="0" applyNumberFormat="1" applyFont="1" applyFill="1"/>
    <xf numFmtId="1" fontId="6" fillId="0" borderId="0" xfId="0" applyNumberFormat="1" applyFont="1" applyFill="1"/>
    <xf numFmtId="2" fontId="11" fillId="0" borderId="0" xfId="0" applyNumberFormat="1" applyFont="1" applyFill="1"/>
    <xf numFmtId="164" fontId="0" fillId="0" borderId="0" xfId="0" applyNumberFormat="1" applyFill="1"/>
    <xf numFmtId="1" fontId="8" fillId="0" borderId="0" xfId="0" applyNumberFormat="1" applyFont="1" applyFill="1"/>
    <xf numFmtId="165" fontId="0" fillId="0" borderId="0" xfId="0" applyNumberFormat="1" applyFill="1"/>
    <xf numFmtId="165" fontId="6" fillId="0" borderId="0" xfId="0" applyNumberFormat="1" applyFont="1" applyFill="1"/>
    <xf numFmtId="2" fontId="0" fillId="0" borderId="2" xfId="0" applyNumberFormat="1" applyFill="1" applyBorder="1"/>
    <xf numFmtId="3" fontId="0" fillId="0" borderId="0" xfId="0" applyNumberFormat="1" applyFill="1"/>
    <xf numFmtId="2" fontId="6" fillId="0" borderId="5" xfId="0" applyNumberFormat="1" applyFont="1" applyFill="1" applyBorder="1" applyAlignment="1">
      <alignment horizontal="centerContinuous"/>
    </xf>
    <xf numFmtId="3" fontId="6" fillId="0" borderId="5" xfId="0" applyNumberFormat="1" applyFont="1" applyFill="1" applyBorder="1" applyAlignment="1">
      <alignment horizontal="centerContinuous"/>
    </xf>
    <xf numFmtId="2" fontId="6" fillId="0" borderId="6" xfId="0" applyNumberFormat="1" applyFont="1" applyFill="1" applyBorder="1" applyAlignment="1">
      <alignment horizontal="centerContinuous"/>
    </xf>
    <xf numFmtId="2" fontId="1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9" fontId="6" fillId="0" borderId="2" xfId="0" applyNumberFormat="1" applyFont="1" applyFill="1" applyBorder="1" applyAlignment="1">
      <alignment horizontal="centerContinuous"/>
    </xf>
    <xf numFmtId="3" fontId="6" fillId="0" borderId="2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Continuous"/>
    </xf>
    <xf numFmtId="2" fontId="13" fillId="0" borderId="0" xfId="0" applyNumberFormat="1" applyFont="1" applyFill="1"/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2" fontId="6" fillId="0" borderId="7" xfId="0" applyNumberFormat="1" applyFont="1" applyFill="1" applyBorder="1" applyAlignment="1">
      <alignment horizontal="centerContinuous"/>
    </xf>
    <xf numFmtId="2" fontId="6" fillId="0" borderId="8" xfId="0" applyNumberFormat="1" applyFont="1" applyFill="1" applyBorder="1" applyAlignment="1">
      <alignment horizontal="centerContinuous"/>
    </xf>
    <xf numFmtId="3" fontId="6" fillId="0" borderId="9" xfId="0" applyNumberFormat="1" applyFont="1" applyFill="1" applyBorder="1" applyAlignment="1">
      <alignment horizontal="centerContinuous"/>
    </xf>
    <xf numFmtId="1" fontId="0" fillId="0" borderId="0" xfId="0" applyNumberFormat="1" applyFill="1" applyBorder="1"/>
    <xf numFmtId="2" fontId="15" fillId="0" borderId="0" xfId="0" applyNumberFormat="1" applyFont="1" applyFill="1"/>
    <xf numFmtId="2" fontId="0" fillId="0" borderId="0" xfId="0" applyNumberFormat="1" applyFill="1" applyAlignment="1">
      <alignment horizontal="centerContinuous"/>
    </xf>
    <xf numFmtId="2" fontId="6" fillId="0" borderId="10" xfId="0" applyNumberFormat="1" applyFont="1" applyFill="1" applyBorder="1" applyAlignment="1">
      <alignment horizontal="centerContinuous"/>
    </xf>
    <xf numFmtId="2" fontId="6" fillId="0" borderId="9" xfId="0" applyNumberFormat="1" applyFont="1" applyFill="1" applyBorder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9" fontId="8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2" xfId="0" applyNumberFormat="1" applyFont="1" applyFill="1" applyBorder="1"/>
    <xf numFmtId="2" fontId="8" fillId="0" borderId="4" xfId="0" applyNumberFormat="1" applyFont="1" applyFill="1" applyBorder="1"/>
    <xf numFmtId="2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2" fontId="3" fillId="0" borderId="13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64" fontId="0" fillId="0" borderId="0" xfId="0" applyNumberFormat="1" applyFill="1" applyBorder="1"/>
    <xf numFmtId="2" fontId="8" fillId="0" borderId="11" xfId="0" applyNumberFormat="1" applyFont="1" applyFill="1" applyBorder="1"/>
    <xf numFmtId="2" fontId="6" fillId="0" borderId="11" xfId="0" applyNumberFormat="1" applyFont="1" applyFill="1" applyBorder="1" applyAlignment="1">
      <alignment horizontal="centerContinuous"/>
    </xf>
    <xf numFmtId="3" fontId="0" fillId="0" borderId="3" xfId="0" applyNumberFormat="1" applyFill="1" applyBorder="1"/>
    <xf numFmtId="2" fontId="6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2" fontId="0" fillId="0" borderId="15" xfId="0" applyNumberFormat="1" applyFill="1" applyBorder="1"/>
    <xf numFmtId="0" fontId="0" fillId="0" borderId="0" xfId="0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2" fontId="6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2" fontId="3" fillId="0" borderId="16" xfId="0" applyNumberFormat="1" applyFont="1" applyFill="1" applyBorder="1" applyAlignment="1">
      <alignment horizontal="centerContinuous"/>
    </xf>
    <xf numFmtId="2" fontId="3" fillId="0" borderId="17" xfId="0" applyNumberFormat="1" applyFont="1" applyFill="1" applyBorder="1" applyAlignment="1">
      <alignment horizontal="centerContinuous"/>
    </xf>
    <xf numFmtId="2" fontId="3" fillId="0" borderId="14" xfId="0" applyNumberFormat="1" applyFont="1" applyFill="1" applyBorder="1" applyAlignment="1">
      <alignment horizontal="centerContinuous"/>
    </xf>
    <xf numFmtId="2" fontId="3" fillId="0" borderId="18" xfId="0" applyNumberFormat="1" applyFont="1" applyFill="1" applyBorder="1" applyAlignment="1">
      <alignment horizontal="centerContinuous"/>
    </xf>
    <xf numFmtId="1" fontId="8" fillId="0" borderId="0" xfId="0" applyNumberFormat="1" applyFont="1" applyFill="1" applyBorder="1"/>
    <xf numFmtId="1" fontId="8" fillId="0" borderId="2" xfId="0" applyNumberFormat="1" applyFont="1" applyFill="1" applyBorder="1"/>
    <xf numFmtId="2" fontId="8" fillId="0" borderId="2" xfId="0" applyNumberFormat="1" applyFont="1" applyFill="1" applyBorder="1"/>
    <xf numFmtId="2" fontId="8" fillId="0" borderId="1" xfId="0" applyNumberFormat="1" applyFont="1" applyFill="1" applyBorder="1"/>
    <xf numFmtId="9" fontId="8" fillId="0" borderId="0" xfId="0" applyNumberFormat="1" applyFont="1" applyFill="1" applyBorder="1"/>
    <xf numFmtId="165" fontId="8" fillId="0" borderId="0" xfId="0" applyNumberFormat="1" applyFont="1" applyFill="1" applyBorder="1"/>
    <xf numFmtId="3" fontId="16" fillId="0" borderId="0" xfId="0" applyNumberFormat="1" applyFont="1" applyFill="1" applyBorder="1"/>
    <xf numFmtId="2" fontId="16" fillId="0" borderId="0" xfId="0" applyNumberFormat="1" applyFont="1" applyFill="1"/>
    <xf numFmtId="1" fontId="1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118</xdr:row>
      <xdr:rowOff>0</xdr:rowOff>
    </xdr:from>
    <xdr:to>
      <xdr:col>9</xdr:col>
      <xdr:colOff>495300</xdr:colOff>
      <xdr:row>121</xdr:row>
      <xdr:rowOff>19050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13741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3"/>
  </sheetPr>
  <dimension ref="A1:BI204"/>
  <sheetViews>
    <sheetView tabSelected="1" workbookViewId="0">
      <selection activeCell="P16" sqref="P16"/>
    </sheetView>
  </sheetViews>
  <sheetFormatPr defaultColWidth="9.109375" defaultRowHeight="13.2" x14ac:dyDescent="0.25"/>
  <cols>
    <col min="1" max="1" width="3.33203125" style="4" customWidth="1"/>
    <col min="2" max="2" width="6.109375" style="4" customWidth="1"/>
    <col min="3" max="3" width="12.44140625" style="4" customWidth="1"/>
    <col min="4" max="4" width="11.6640625" style="4" customWidth="1"/>
    <col min="5" max="5" width="9.6640625" style="4" customWidth="1"/>
    <col min="6" max="6" width="8.6640625" style="4" customWidth="1"/>
    <col min="7" max="7" width="9.6640625" style="4" customWidth="1"/>
    <col min="8" max="8" width="8.33203125" style="4" customWidth="1"/>
    <col min="9" max="9" width="10" style="4" customWidth="1"/>
    <col min="10" max="10" width="9.33203125" style="4" customWidth="1"/>
    <col min="11" max="11" width="8.5546875" style="4" customWidth="1"/>
    <col min="12" max="12" width="10.6640625" style="4" customWidth="1"/>
    <col min="13" max="13" width="9.109375" style="4"/>
    <col min="14" max="14" width="10.6640625" style="4" customWidth="1"/>
    <col min="15" max="31" width="9.109375" style="4"/>
    <col min="32" max="32" width="3.6640625" style="4" customWidth="1"/>
    <col min="33" max="33" width="2" style="4" customWidth="1"/>
    <col min="34" max="34" width="2.88671875" style="4" customWidth="1"/>
    <col min="35" max="35" width="3.109375" style="4" customWidth="1"/>
    <col min="36" max="36" width="2.88671875" style="4" customWidth="1"/>
    <col min="37" max="37" width="2" style="4" customWidth="1"/>
    <col min="38" max="16384" width="9.109375" style="4"/>
  </cols>
  <sheetData>
    <row r="1" spans="1:25" ht="15" customHeight="1" x14ac:dyDescent="0.3">
      <c r="A1" s="99" t="s">
        <v>244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25" ht="15" customHeight="1" x14ac:dyDescent="0.3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25" ht="15" customHeight="1" x14ac:dyDescent="0.3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25" ht="15" customHeight="1" x14ac:dyDescent="0.3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25" ht="15" customHeight="1" x14ac:dyDescent="0.3">
      <c r="A5" s="2"/>
      <c r="B5" s="5"/>
      <c r="C5" s="2"/>
      <c r="D5" s="2"/>
      <c r="E5" s="2"/>
      <c r="F5" s="2"/>
      <c r="G5" s="2"/>
      <c r="H5" s="2"/>
      <c r="I5" s="2"/>
      <c r="J5" s="3"/>
      <c r="K5" s="3" t="s">
        <v>3</v>
      </c>
    </row>
    <row r="6" spans="1:25" ht="15" customHeight="1" x14ac:dyDescent="0.3">
      <c r="A6" s="84"/>
      <c r="B6" s="10"/>
      <c r="C6" s="85"/>
      <c r="D6" s="67"/>
      <c r="E6" s="69"/>
      <c r="F6" s="69"/>
      <c r="G6" s="69"/>
      <c r="H6" s="69"/>
      <c r="I6" s="69"/>
      <c r="J6" s="86"/>
      <c r="K6" s="3" t="s">
        <v>3</v>
      </c>
    </row>
    <row r="7" spans="1:25" ht="15" customHeight="1" x14ac:dyDescent="0.3">
      <c r="A7" s="84"/>
      <c r="B7" s="10"/>
      <c r="C7" s="73" t="s">
        <v>4</v>
      </c>
      <c r="D7" s="70"/>
      <c r="E7" s="70"/>
      <c r="F7" s="70"/>
      <c r="G7" s="70"/>
      <c r="H7" s="70"/>
      <c r="I7" s="68"/>
      <c r="J7" s="87"/>
      <c r="K7" s="3" t="s">
        <v>3</v>
      </c>
    </row>
    <row r="8" spans="1:25" ht="15" customHeight="1" x14ac:dyDescent="0.3">
      <c r="A8" s="84"/>
      <c r="B8" s="10"/>
      <c r="C8" s="72"/>
      <c r="D8" s="71"/>
      <c r="E8" s="71"/>
      <c r="F8" s="71"/>
      <c r="G8" s="71"/>
      <c r="H8" s="71"/>
      <c r="I8" s="71"/>
      <c r="J8" s="88"/>
      <c r="K8" s="3" t="s">
        <v>3</v>
      </c>
    </row>
    <row r="9" spans="1:25" ht="15" customHeight="1" x14ac:dyDescent="0.25">
      <c r="A9" s="3"/>
      <c r="B9" s="84"/>
      <c r="C9" s="84"/>
      <c r="D9" s="84"/>
      <c r="E9" s="84"/>
      <c r="F9" s="84"/>
      <c r="G9" s="84"/>
      <c r="H9" s="3"/>
      <c r="I9" s="84"/>
      <c r="J9" s="3"/>
      <c r="K9" s="3" t="s">
        <v>3</v>
      </c>
    </row>
    <row r="10" spans="1:25" ht="15" customHeight="1" x14ac:dyDescent="0.4">
      <c r="A10" s="3"/>
      <c r="B10" s="3"/>
      <c r="C10" s="3"/>
      <c r="D10" s="6" t="s">
        <v>5</v>
      </c>
      <c r="E10" s="3"/>
      <c r="F10" s="3"/>
      <c r="G10" s="3"/>
      <c r="H10" s="3"/>
      <c r="I10" s="3"/>
      <c r="J10" s="3"/>
      <c r="K10" s="3" t="s">
        <v>3</v>
      </c>
    </row>
    <row r="11" spans="1:25" ht="15" customHeight="1" x14ac:dyDescent="0.25">
      <c r="A11" s="3"/>
      <c r="B11" s="7" t="s">
        <v>3</v>
      </c>
      <c r="C11" s="7"/>
      <c r="D11" s="7"/>
      <c r="E11" s="7"/>
      <c r="F11" s="7"/>
      <c r="G11" s="7"/>
      <c r="H11" s="7"/>
      <c r="I11" s="7"/>
      <c r="J11" s="7"/>
      <c r="K11" s="4" t="s">
        <v>3</v>
      </c>
    </row>
    <row r="12" spans="1:25" ht="15" customHeight="1" x14ac:dyDescent="0.25">
      <c r="A12" s="3"/>
      <c r="B12" s="8" t="s">
        <v>6</v>
      </c>
      <c r="C12" s="8"/>
      <c r="D12" s="8"/>
      <c r="E12" s="8"/>
      <c r="F12" s="8"/>
      <c r="G12" s="8"/>
      <c r="H12" s="8"/>
      <c r="I12" s="8"/>
      <c r="J12" s="8"/>
      <c r="K12" s="4" t="s">
        <v>3</v>
      </c>
    </row>
    <row r="13" spans="1:25" ht="15" customHeight="1" x14ac:dyDescent="0.25">
      <c r="A13" s="3"/>
      <c r="E13" s="4" t="s">
        <v>7</v>
      </c>
      <c r="G13" s="9">
        <v>1</v>
      </c>
      <c r="N13" s="15"/>
      <c r="O13" s="15"/>
      <c r="P13" s="15"/>
      <c r="Q13" s="15"/>
      <c r="R13" s="15"/>
      <c r="S13" s="16"/>
    </row>
    <row r="14" spans="1:25" ht="15" customHeight="1" x14ac:dyDescent="0.25">
      <c r="A14" s="3"/>
      <c r="K14" s="4" t="s">
        <v>3</v>
      </c>
    </row>
    <row r="15" spans="1:25" ht="15" customHeight="1" x14ac:dyDescent="0.25">
      <c r="A15" s="3"/>
      <c r="B15" s="10"/>
      <c r="C15" s="10"/>
      <c r="D15" s="11" t="s">
        <v>8</v>
      </c>
      <c r="E15" s="12" t="s">
        <v>9</v>
      </c>
      <c r="F15" s="11" t="s">
        <v>10</v>
      </c>
      <c r="G15" s="13" t="s">
        <v>11</v>
      </c>
      <c r="H15" s="11" t="s">
        <v>12</v>
      </c>
      <c r="J15" s="14" t="s">
        <v>3</v>
      </c>
      <c r="K15" s="4" t="s">
        <v>3</v>
      </c>
      <c r="R15" s="44"/>
      <c r="S15" s="44"/>
      <c r="T15" s="44"/>
      <c r="U15" s="44"/>
      <c r="V15" s="44"/>
      <c r="W15" s="16"/>
      <c r="Y15" s="4" t="s">
        <v>3</v>
      </c>
    </row>
    <row r="16" spans="1:25" ht="15" customHeight="1" x14ac:dyDescent="0.25">
      <c r="A16" s="3"/>
      <c r="B16" s="15" t="s">
        <v>13</v>
      </c>
      <c r="C16" s="10"/>
      <c r="D16" s="45">
        <v>1800</v>
      </c>
      <c r="E16" s="45">
        <v>1700</v>
      </c>
      <c r="F16" s="13">
        <v>1600</v>
      </c>
      <c r="G16" s="45">
        <v>1500</v>
      </c>
      <c r="H16" s="45">
        <v>1400</v>
      </c>
      <c r="K16" s="4" t="s">
        <v>3</v>
      </c>
    </row>
    <row r="17" spans="1:19" ht="15" customHeight="1" x14ac:dyDescent="0.25">
      <c r="A17" s="3"/>
      <c r="B17" s="15" t="s">
        <v>14</v>
      </c>
      <c r="C17" s="10"/>
      <c r="D17" s="44">
        <v>12</v>
      </c>
      <c r="E17" s="44">
        <v>11</v>
      </c>
      <c r="F17" s="42">
        <v>10</v>
      </c>
      <c r="G17" s="44">
        <v>9</v>
      </c>
      <c r="H17" s="44">
        <v>8</v>
      </c>
      <c r="I17" s="16"/>
      <c r="K17" s="4" t="s">
        <v>3</v>
      </c>
    </row>
    <row r="18" spans="1:19" ht="15" customHeight="1" x14ac:dyDescent="0.25">
      <c r="A18" s="3"/>
    </row>
    <row r="19" spans="1:19" ht="15" customHeight="1" x14ac:dyDescent="0.25">
      <c r="A19" s="3"/>
      <c r="B19" s="8" t="s">
        <v>15</v>
      </c>
      <c r="C19" s="8"/>
      <c r="D19" s="8"/>
      <c r="E19" s="8"/>
      <c r="F19" s="8" t="s">
        <v>16</v>
      </c>
      <c r="G19" s="8" t="s">
        <v>17</v>
      </c>
      <c r="H19" s="8" t="s">
        <v>18</v>
      </c>
      <c r="I19" s="8" t="s">
        <v>19</v>
      </c>
      <c r="J19" s="17" t="s">
        <v>20</v>
      </c>
      <c r="K19" s="8" t="s">
        <v>21</v>
      </c>
      <c r="S19" s="4" t="s">
        <v>3</v>
      </c>
    </row>
    <row r="20" spans="1:19" ht="15" customHeight="1" x14ac:dyDescent="0.25">
      <c r="A20" s="3"/>
      <c r="B20" s="4" t="s">
        <v>22</v>
      </c>
      <c r="I20" s="18" t="s">
        <v>3</v>
      </c>
    </row>
    <row r="21" spans="1:19" ht="15" customHeight="1" x14ac:dyDescent="0.25">
      <c r="A21" s="3"/>
      <c r="I21" s="18" t="s">
        <v>3</v>
      </c>
      <c r="K21" s="10"/>
    </row>
    <row r="22" spans="1:19" ht="12.75" customHeight="1" x14ac:dyDescent="0.25">
      <c r="A22" s="3"/>
      <c r="B22" s="4" t="s">
        <v>3</v>
      </c>
      <c r="C22" s="19" t="s">
        <v>23</v>
      </c>
      <c r="D22" s="19"/>
      <c r="E22" s="19"/>
      <c r="F22" s="19" t="s">
        <v>24</v>
      </c>
      <c r="G22" s="19">
        <v>4.8</v>
      </c>
      <c r="H22" s="19">
        <v>250</v>
      </c>
      <c r="I22" s="19">
        <f t="shared" ref="I22:I39" si="0">G22*H22</f>
        <v>1200</v>
      </c>
      <c r="J22" s="20">
        <f>G$13*I22</f>
        <v>1200</v>
      </c>
      <c r="K22" s="10" t="s">
        <v>25</v>
      </c>
    </row>
    <row r="23" spans="1:19" ht="12.75" customHeight="1" x14ac:dyDescent="0.25">
      <c r="A23" s="3"/>
      <c r="C23" s="19" t="s">
        <v>26</v>
      </c>
      <c r="D23" s="19"/>
      <c r="E23" s="19"/>
      <c r="F23" s="19" t="s">
        <v>27</v>
      </c>
      <c r="G23" s="19">
        <v>1.5</v>
      </c>
      <c r="H23" s="19">
        <v>115</v>
      </c>
      <c r="I23" s="19">
        <f t="shared" si="0"/>
        <v>172.5</v>
      </c>
      <c r="J23" s="20">
        <f>G$13*I23</f>
        <v>172.5</v>
      </c>
      <c r="K23" s="10" t="s">
        <v>25</v>
      </c>
    </row>
    <row r="24" spans="1:19" ht="12.75" customHeight="1" x14ac:dyDescent="0.25">
      <c r="A24" s="3"/>
      <c r="C24" s="19" t="s">
        <v>28</v>
      </c>
      <c r="D24" s="19"/>
      <c r="E24" s="19"/>
      <c r="F24" s="19" t="s">
        <v>27</v>
      </c>
      <c r="G24" s="19">
        <v>1</v>
      </c>
      <c r="H24" s="19">
        <v>360</v>
      </c>
      <c r="I24" s="19">
        <f t="shared" si="0"/>
        <v>360</v>
      </c>
      <c r="J24" s="20">
        <f>G24*H24</f>
        <v>360</v>
      </c>
      <c r="K24" s="10" t="s">
        <v>25</v>
      </c>
    </row>
    <row r="25" spans="1:19" ht="12.75" customHeight="1" x14ac:dyDescent="0.25">
      <c r="A25" s="3"/>
      <c r="C25" s="19" t="s">
        <v>29</v>
      </c>
      <c r="D25" s="19"/>
      <c r="E25" s="19"/>
      <c r="F25" s="19" t="s">
        <v>27</v>
      </c>
      <c r="G25" s="19">
        <v>1</v>
      </c>
      <c r="H25" s="19">
        <v>178.5</v>
      </c>
      <c r="I25" s="19">
        <f t="shared" si="0"/>
        <v>178.5</v>
      </c>
      <c r="J25" s="20">
        <f>G13*I25</f>
        <v>178.5</v>
      </c>
      <c r="K25" s="10" t="s">
        <v>25</v>
      </c>
    </row>
    <row r="26" spans="1:19" ht="12.75" customHeight="1" x14ac:dyDescent="0.25">
      <c r="A26" s="3"/>
      <c r="C26" s="19" t="s">
        <v>30</v>
      </c>
      <c r="D26" s="19"/>
      <c r="E26" s="19"/>
      <c r="F26" s="19" t="s">
        <v>31</v>
      </c>
      <c r="G26" s="19">
        <v>2.85</v>
      </c>
      <c r="H26" s="19">
        <v>105</v>
      </c>
      <c r="I26" s="19">
        <f t="shared" si="0"/>
        <v>299.25</v>
      </c>
      <c r="J26" s="20">
        <f>G$13*I26</f>
        <v>299.25</v>
      </c>
      <c r="K26" s="10" t="s">
        <v>25</v>
      </c>
    </row>
    <row r="27" spans="1:19" ht="12.75" customHeight="1" x14ac:dyDescent="0.25">
      <c r="A27" s="3"/>
      <c r="C27" s="19" t="s">
        <v>32</v>
      </c>
      <c r="D27" s="19"/>
      <c r="E27" s="19"/>
      <c r="F27" s="19" t="s">
        <v>33</v>
      </c>
      <c r="G27" s="19">
        <v>200</v>
      </c>
      <c r="H27" s="19">
        <v>5.7</v>
      </c>
      <c r="I27" s="19">
        <f t="shared" si="0"/>
        <v>1140</v>
      </c>
      <c r="J27" s="20">
        <f>G$13*I27</f>
        <v>1140</v>
      </c>
      <c r="K27" s="10" t="s">
        <v>25</v>
      </c>
    </row>
    <row r="28" spans="1:19" ht="12.75" customHeight="1" x14ac:dyDescent="0.25">
      <c r="A28" s="3"/>
      <c r="C28" s="19" t="s">
        <v>34</v>
      </c>
      <c r="D28" s="19"/>
      <c r="E28" s="19"/>
      <c r="F28" s="19" t="s">
        <v>35</v>
      </c>
      <c r="G28" s="19">
        <v>21</v>
      </c>
      <c r="H28" s="19">
        <v>25.62</v>
      </c>
      <c r="I28" s="19">
        <f t="shared" si="0"/>
        <v>538.02</v>
      </c>
      <c r="J28" s="20">
        <f>G$13*I28</f>
        <v>538.02</v>
      </c>
      <c r="K28" s="10" t="s">
        <v>25</v>
      </c>
    </row>
    <row r="29" spans="1:19" ht="12.75" customHeight="1" x14ac:dyDescent="0.25">
      <c r="A29" s="3"/>
      <c r="C29" s="19" t="s">
        <v>36</v>
      </c>
      <c r="D29" s="19"/>
      <c r="E29" s="19"/>
      <c r="F29" s="19" t="s">
        <v>35</v>
      </c>
      <c r="G29" s="19">
        <v>5</v>
      </c>
      <c r="H29" s="19">
        <v>250</v>
      </c>
      <c r="I29" s="19">
        <f t="shared" si="0"/>
        <v>1250</v>
      </c>
      <c r="J29" s="20">
        <f>G$13*I29</f>
        <v>1250</v>
      </c>
      <c r="K29" s="10" t="s">
        <v>25</v>
      </c>
    </row>
    <row r="30" spans="1:19" ht="12.75" customHeight="1" x14ac:dyDescent="0.25">
      <c r="A30" s="3"/>
      <c r="C30" s="19" t="s">
        <v>37</v>
      </c>
      <c r="D30" s="19"/>
      <c r="E30" s="19"/>
      <c r="F30" s="19" t="s">
        <v>33</v>
      </c>
      <c r="G30" s="19">
        <v>1.9</v>
      </c>
      <c r="H30" s="19">
        <v>32.909999999999997</v>
      </c>
      <c r="I30" s="19">
        <f t="shared" si="0"/>
        <v>62.528999999999989</v>
      </c>
      <c r="J30" s="20">
        <f>G$13*I30</f>
        <v>62.528999999999989</v>
      </c>
      <c r="K30" s="10" t="s">
        <v>25</v>
      </c>
    </row>
    <row r="31" spans="1:19" ht="12.75" customHeight="1" x14ac:dyDescent="0.25">
      <c r="A31" s="3"/>
      <c r="C31" s="19" t="s">
        <v>38</v>
      </c>
      <c r="D31" s="19"/>
      <c r="E31" s="19"/>
      <c r="F31" s="19" t="s">
        <v>24</v>
      </c>
      <c r="G31" s="19">
        <v>4</v>
      </c>
      <c r="H31" s="19">
        <v>45</v>
      </c>
      <c r="I31" s="19">
        <f t="shared" si="0"/>
        <v>180</v>
      </c>
      <c r="J31" s="20">
        <f>G13*I31</f>
        <v>180</v>
      </c>
      <c r="K31" s="10" t="s">
        <v>25</v>
      </c>
    </row>
    <row r="32" spans="1:19" ht="12.75" customHeight="1" x14ac:dyDescent="0.25">
      <c r="A32" s="3"/>
      <c r="C32" s="19" t="s">
        <v>39</v>
      </c>
      <c r="D32" s="19"/>
      <c r="E32" s="19"/>
      <c r="F32" s="19" t="s">
        <v>33</v>
      </c>
      <c r="G32" s="19">
        <v>30</v>
      </c>
      <c r="H32" s="19">
        <v>7.35</v>
      </c>
      <c r="I32" s="19">
        <f t="shared" si="0"/>
        <v>220.5</v>
      </c>
      <c r="J32" s="20">
        <f>G13*I32</f>
        <v>220.5</v>
      </c>
      <c r="K32" s="10" t="s">
        <v>25</v>
      </c>
    </row>
    <row r="33" spans="1:61" ht="12.75" customHeight="1" x14ac:dyDescent="0.25">
      <c r="A33" s="3"/>
      <c r="C33" s="19" t="s">
        <v>40</v>
      </c>
      <c r="D33" s="19"/>
      <c r="E33" s="19"/>
      <c r="F33" s="19" t="s">
        <v>41</v>
      </c>
      <c r="G33" s="19">
        <v>5</v>
      </c>
      <c r="H33" s="19">
        <v>8</v>
      </c>
      <c r="I33" s="19">
        <f t="shared" si="0"/>
        <v>40</v>
      </c>
      <c r="J33" s="20">
        <f>G33*H33</f>
        <v>40</v>
      </c>
      <c r="K33" s="10" t="s">
        <v>25</v>
      </c>
    </row>
    <row r="34" spans="1:61" ht="12.75" customHeight="1" x14ac:dyDescent="0.25">
      <c r="A34" s="3"/>
      <c r="C34" s="19" t="s">
        <v>42</v>
      </c>
      <c r="D34" s="19"/>
      <c r="E34" s="19"/>
      <c r="F34" s="19" t="s">
        <v>41</v>
      </c>
      <c r="G34" s="19">
        <v>100</v>
      </c>
      <c r="H34" s="19">
        <v>8</v>
      </c>
      <c r="I34" s="19">
        <f t="shared" si="0"/>
        <v>800</v>
      </c>
      <c r="J34" s="20">
        <f>G34*H34</f>
        <v>800</v>
      </c>
      <c r="K34" s="10" t="s">
        <v>25</v>
      </c>
    </row>
    <row r="35" spans="1:61" ht="12.75" customHeight="1" x14ac:dyDescent="0.25">
      <c r="A35" s="3"/>
      <c r="B35" s="4" t="s">
        <v>3</v>
      </c>
      <c r="C35" s="19" t="s">
        <v>43</v>
      </c>
      <c r="D35" s="19"/>
      <c r="E35" s="19"/>
      <c r="F35" s="19" t="s">
        <v>33</v>
      </c>
      <c r="G35" s="19">
        <v>1</v>
      </c>
      <c r="H35" s="19">
        <v>147</v>
      </c>
      <c r="I35" s="19">
        <f t="shared" si="0"/>
        <v>147</v>
      </c>
      <c r="J35" s="20">
        <f>G13*I35</f>
        <v>147</v>
      </c>
      <c r="K35" s="10" t="s">
        <v>25</v>
      </c>
    </row>
    <row r="36" spans="1:61" ht="12.75" customHeight="1" x14ac:dyDescent="0.25">
      <c r="A36" s="3"/>
      <c r="C36" s="19" t="s">
        <v>44</v>
      </c>
      <c r="D36" s="19"/>
      <c r="E36" s="19"/>
      <c r="F36" s="19" t="s">
        <v>33</v>
      </c>
      <c r="G36" s="19">
        <v>1</v>
      </c>
      <c r="H36" s="19">
        <v>70</v>
      </c>
      <c r="I36" s="19">
        <f t="shared" si="0"/>
        <v>70</v>
      </c>
      <c r="J36" s="20">
        <f>G$13*I36</f>
        <v>70</v>
      </c>
      <c r="K36" s="10" t="s">
        <v>25</v>
      </c>
    </row>
    <row r="37" spans="1:61" ht="12.75" customHeight="1" x14ac:dyDescent="0.25">
      <c r="A37" s="3"/>
      <c r="C37" s="19" t="s">
        <v>45</v>
      </c>
      <c r="D37" s="19"/>
      <c r="E37" s="19"/>
      <c r="F37" s="19" t="s">
        <v>33</v>
      </c>
      <c r="G37" s="19">
        <v>1</v>
      </c>
      <c r="H37" s="19">
        <v>157.5</v>
      </c>
      <c r="I37" s="19">
        <f t="shared" si="0"/>
        <v>157.5</v>
      </c>
      <c r="J37" s="20">
        <f>G37*H37</f>
        <v>157.5</v>
      </c>
      <c r="K37" s="10" t="s">
        <v>25</v>
      </c>
    </row>
    <row r="38" spans="1:61" ht="12.75" customHeight="1" x14ac:dyDescent="0.25">
      <c r="A38" s="3"/>
      <c r="C38" s="19" t="s">
        <v>46</v>
      </c>
      <c r="D38" s="19"/>
      <c r="E38" s="19"/>
      <c r="F38" s="19" t="s">
        <v>33</v>
      </c>
      <c r="G38" s="19">
        <v>1</v>
      </c>
      <c r="H38" s="19">
        <v>27.047999999999998</v>
      </c>
      <c r="I38" s="19">
        <f t="shared" si="0"/>
        <v>27.047999999999998</v>
      </c>
      <c r="J38" s="20">
        <f>G38*H38</f>
        <v>27.047999999999998</v>
      </c>
      <c r="K38" s="10" t="s">
        <v>25</v>
      </c>
    </row>
    <row r="39" spans="1:61" ht="12.75" customHeight="1" x14ac:dyDescent="0.25">
      <c r="A39" s="3"/>
      <c r="C39" s="19" t="s">
        <v>47</v>
      </c>
      <c r="D39" s="19"/>
      <c r="E39" s="19"/>
      <c r="F39" s="19" t="s">
        <v>33</v>
      </c>
      <c r="G39" s="19">
        <v>1</v>
      </c>
      <c r="H39" s="19">
        <f>Irrigation!H39</f>
        <v>76.97218749999999</v>
      </c>
      <c r="I39" s="19">
        <f t="shared" si="0"/>
        <v>76.97218749999999</v>
      </c>
      <c r="J39" s="20">
        <f>G$13*I39</f>
        <v>76.97218749999999</v>
      </c>
      <c r="K39" s="10" t="s">
        <v>25</v>
      </c>
    </row>
    <row r="40" spans="1:61" ht="12.75" customHeight="1" x14ac:dyDescent="0.25">
      <c r="A40" s="3"/>
      <c r="C40" s="19" t="s">
        <v>48</v>
      </c>
      <c r="D40" s="19"/>
      <c r="E40" s="19"/>
      <c r="F40" s="19" t="s">
        <v>49</v>
      </c>
      <c r="G40" s="19">
        <f>SUM(I22:I39)</f>
        <v>6919.8191874999993</v>
      </c>
      <c r="H40" s="19">
        <v>6.5000000000000002E-2</v>
      </c>
      <c r="I40" s="19">
        <f>G40*H40/2</f>
        <v>224.89412359374998</v>
      </c>
      <c r="J40" s="20">
        <f>G13*I40</f>
        <v>224.89412359374998</v>
      </c>
      <c r="K40" s="75"/>
    </row>
    <row r="41" spans="1:61" ht="12.75" customHeight="1" thickBot="1" x14ac:dyDescent="0.3">
      <c r="A41" s="3"/>
      <c r="B41" s="21" t="s">
        <v>50</v>
      </c>
      <c r="C41" s="19"/>
      <c r="D41" s="19"/>
      <c r="E41" s="19"/>
      <c r="F41" s="19"/>
      <c r="G41" s="19"/>
      <c r="H41" s="19"/>
      <c r="I41" s="22">
        <f>SUM(I22:I40)</f>
        <v>7144.7133110937493</v>
      </c>
      <c r="J41" s="23">
        <f>G13*I41</f>
        <v>7144.7133110937493</v>
      </c>
      <c r="K41" s="24"/>
    </row>
    <row r="42" spans="1:61" ht="12.75" customHeight="1" thickTop="1" x14ac:dyDescent="0.25">
      <c r="A42" s="3"/>
    </row>
    <row r="43" spans="1:61" ht="12.75" customHeight="1" x14ac:dyDescent="0.25">
      <c r="A43" s="3"/>
      <c r="B43" s="25" t="s">
        <v>51</v>
      </c>
      <c r="F43" s="21" t="s">
        <v>16</v>
      </c>
      <c r="G43" s="21" t="s">
        <v>17</v>
      </c>
      <c r="H43" s="21" t="s">
        <v>18</v>
      </c>
      <c r="I43" s="26" t="s">
        <v>19</v>
      </c>
      <c r="J43" s="21" t="s">
        <v>20</v>
      </c>
      <c r="K43" s="21" t="s">
        <v>21</v>
      </c>
    </row>
    <row r="44" spans="1:61" ht="12.75" customHeight="1" x14ac:dyDescent="0.25">
      <c r="A44" s="3"/>
      <c r="I44" s="18" t="s">
        <v>3</v>
      </c>
      <c r="J44" s="27"/>
      <c r="K44" s="74" t="s">
        <v>3</v>
      </c>
    </row>
    <row r="45" spans="1:61" ht="12.75" customHeight="1" x14ac:dyDescent="0.25">
      <c r="A45" s="3"/>
      <c r="C45" s="19" t="s">
        <v>52</v>
      </c>
      <c r="D45" s="19"/>
      <c r="E45" s="19"/>
      <c r="F45" s="19" t="s">
        <v>53</v>
      </c>
      <c r="G45" s="19">
        <f>MEDY*0.95</f>
        <v>1520</v>
      </c>
      <c r="H45" s="19">
        <v>1.31</v>
      </c>
      <c r="I45" s="29">
        <f>G45*H45</f>
        <v>1991.2</v>
      </c>
      <c r="J45" s="20">
        <f>G45*H45</f>
        <v>1991.2</v>
      </c>
      <c r="K45" s="10" t="s">
        <v>25</v>
      </c>
    </row>
    <row r="46" spans="1:61" ht="12.75" customHeight="1" x14ac:dyDescent="0.25">
      <c r="A46" s="3"/>
      <c r="C46" s="19" t="s">
        <v>54</v>
      </c>
      <c r="D46" s="19"/>
      <c r="E46" s="19"/>
      <c r="F46" s="19" t="s">
        <v>53</v>
      </c>
      <c r="G46" s="19">
        <f>MEDY*0.95</f>
        <v>1520</v>
      </c>
      <c r="H46" s="19">
        <v>0.89</v>
      </c>
      <c r="I46" s="29">
        <f>G46*H46</f>
        <v>1352.8</v>
      </c>
      <c r="J46" s="20">
        <f>G46*H46</f>
        <v>1352.8</v>
      </c>
      <c r="K46" s="10" t="s">
        <v>25</v>
      </c>
    </row>
    <row r="47" spans="1:61" ht="12.75" customHeight="1" x14ac:dyDescent="0.25">
      <c r="A47" s="3"/>
      <c r="C47" s="19" t="s">
        <v>55</v>
      </c>
      <c r="D47" s="19"/>
      <c r="E47" s="19"/>
      <c r="F47" s="19" t="s">
        <v>53</v>
      </c>
      <c r="G47" s="19">
        <f>MEDY*0.95</f>
        <v>1520</v>
      </c>
      <c r="H47" s="19">
        <v>0.89</v>
      </c>
      <c r="I47" s="29">
        <f>G47*H47</f>
        <v>1352.8</v>
      </c>
      <c r="J47" s="20">
        <f>G47*H47</f>
        <v>1352.8</v>
      </c>
      <c r="K47" s="10" t="s">
        <v>25</v>
      </c>
    </row>
    <row r="48" spans="1:61" ht="12.75" customHeight="1" x14ac:dyDescent="0.25">
      <c r="A48" s="3"/>
      <c r="C48" s="19" t="s">
        <v>56</v>
      </c>
      <c r="D48" s="19"/>
      <c r="E48" s="19"/>
      <c r="F48" s="19" t="s">
        <v>49</v>
      </c>
      <c r="G48" s="19">
        <f>I45+I46+I47</f>
        <v>4696.8</v>
      </c>
      <c r="H48" s="19">
        <v>8.5000000000000006E-2</v>
      </c>
      <c r="I48" s="19">
        <f>G48*H48</f>
        <v>399.22800000000007</v>
      </c>
      <c r="J48" s="20">
        <f>G13*I48</f>
        <v>399.22800000000007</v>
      </c>
      <c r="K48" s="10"/>
      <c r="BI48" s="30" t="s">
        <v>57</v>
      </c>
    </row>
    <row r="49" spans="1:61" ht="12.75" customHeight="1" thickBot="1" x14ac:dyDescent="0.3">
      <c r="A49" s="3"/>
      <c r="B49" s="21" t="s">
        <v>58</v>
      </c>
      <c r="C49" s="21"/>
      <c r="D49" s="21"/>
      <c r="E49" s="21"/>
      <c r="F49" s="21"/>
      <c r="G49" s="21"/>
      <c r="H49" s="31">
        <f>I48/F16</f>
        <v>0.24951750000000003</v>
      </c>
      <c r="I49" s="22">
        <f>SUM(I45:I48)</f>
        <v>5096.0280000000002</v>
      </c>
      <c r="J49" s="23">
        <f>G13*I49</f>
        <v>5096.0280000000002</v>
      </c>
      <c r="K49" s="32"/>
      <c r="BI49" s="30" t="s">
        <v>59</v>
      </c>
    </row>
    <row r="50" spans="1:61" ht="12.75" customHeight="1" thickTop="1" x14ac:dyDescent="0.25">
      <c r="A50" s="3"/>
      <c r="BI50" s="30" t="s">
        <v>60</v>
      </c>
    </row>
    <row r="51" spans="1:61" ht="12.75" customHeight="1" thickBot="1" x14ac:dyDescent="0.3">
      <c r="A51" s="3"/>
      <c r="B51" s="21" t="s">
        <v>61</v>
      </c>
      <c r="C51" s="21"/>
      <c r="D51" s="21"/>
      <c r="E51" s="21"/>
      <c r="F51" s="21" t="s">
        <v>49</v>
      </c>
      <c r="G51" s="21"/>
      <c r="H51" s="21"/>
      <c r="I51" s="22">
        <f>I41+I49</f>
        <v>12240.741311093749</v>
      </c>
      <c r="J51" s="23">
        <f>G13*I51</f>
        <v>12240.741311093749</v>
      </c>
      <c r="K51" s="32"/>
      <c r="BI51" s="30" t="s">
        <v>62</v>
      </c>
    </row>
    <row r="52" spans="1:61" ht="12.75" customHeight="1" thickTop="1" x14ac:dyDescent="0.25">
      <c r="A52" s="3"/>
      <c r="J52" s="33"/>
      <c r="BI52" s="30"/>
    </row>
    <row r="53" spans="1:61" ht="12.75" customHeight="1" x14ac:dyDescent="0.25">
      <c r="A53" s="3"/>
      <c r="B53" s="4" t="s">
        <v>63</v>
      </c>
      <c r="J53" s="33"/>
      <c r="BI53" s="30"/>
    </row>
    <row r="54" spans="1:61" ht="15" x14ac:dyDescent="0.25">
      <c r="A54" s="3"/>
      <c r="B54" s="10"/>
      <c r="C54" s="10"/>
      <c r="D54" s="10"/>
      <c r="E54" s="10"/>
      <c r="F54" s="10"/>
      <c r="G54" s="10"/>
      <c r="H54" s="10"/>
      <c r="I54" s="54"/>
      <c r="J54" s="10"/>
      <c r="BI54" s="30" t="s">
        <v>64</v>
      </c>
    </row>
    <row r="55" spans="1:61" ht="15" customHeight="1" x14ac:dyDescent="0.25">
      <c r="A55" s="3"/>
      <c r="B55" s="21" t="s">
        <v>65</v>
      </c>
    </row>
    <row r="56" spans="1:61" ht="15" customHeight="1" x14ac:dyDescent="0.25">
      <c r="A56" s="3"/>
      <c r="K56" s="28" t="s">
        <v>3</v>
      </c>
    </row>
    <row r="57" spans="1:61" ht="15" customHeight="1" x14ac:dyDescent="0.25">
      <c r="A57" s="3"/>
      <c r="C57" s="21" t="s">
        <v>66</v>
      </c>
      <c r="F57" s="21" t="s">
        <v>16</v>
      </c>
      <c r="G57" s="21" t="s">
        <v>17</v>
      </c>
      <c r="H57" s="21" t="s">
        <v>18</v>
      </c>
      <c r="I57" s="26" t="s">
        <v>19</v>
      </c>
      <c r="J57" s="21" t="s">
        <v>20</v>
      </c>
      <c r="K57" s="21" t="s">
        <v>21</v>
      </c>
    </row>
    <row r="58" spans="1:61" ht="15" customHeight="1" x14ac:dyDescent="0.25">
      <c r="A58" s="3"/>
      <c r="C58" s="4" t="s">
        <v>46</v>
      </c>
      <c r="F58" s="19" t="s">
        <v>33</v>
      </c>
      <c r="G58" s="19">
        <v>1</v>
      </c>
      <c r="H58" s="19">
        <f>+Fixed_Cost!H29</f>
        <v>167.53968000000003</v>
      </c>
      <c r="I58" s="19">
        <f>G58*H58</f>
        <v>167.53968000000003</v>
      </c>
      <c r="J58" s="20">
        <f>G13*I58</f>
        <v>167.53968000000003</v>
      </c>
      <c r="K58" s="4" t="s">
        <v>25</v>
      </c>
    </row>
    <row r="59" spans="1:61" ht="15" customHeight="1" x14ac:dyDescent="0.25">
      <c r="A59" s="3"/>
      <c r="C59" s="4" t="s">
        <v>47</v>
      </c>
      <c r="F59" s="19" t="s">
        <v>33</v>
      </c>
      <c r="G59" s="19">
        <v>1</v>
      </c>
      <c r="H59" s="19">
        <f>Irrigation!H23</f>
        <v>74.84</v>
      </c>
      <c r="I59" s="19">
        <f>G59*H59</f>
        <v>74.84</v>
      </c>
      <c r="J59" s="20">
        <f>G13*I59</f>
        <v>74.84</v>
      </c>
      <c r="K59" s="4" t="s">
        <v>25</v>
      </c>
    </row>
    <row r="60" spans="1:61" ht="15" customHeight="1" x14ac:dyDescent="0.25">
      <c r="A60" s="3"/>
      <c r="C60" s="4" t="s">
        <v>67</v>
      </c>
      <c r="F60" s="19" t="s">
        <v>49</v>
      </c>
      <c r="G60" s="19">
        <f>I41</f>
        <v>7144.7133110937493</v>
      </c>
      <c r="H60" s="19">
        <v>0.15</v>
      </c>
      <c r="I60" s="19">
        <f>G60*H60</f>
        <v>1071.7069966640624</v>
      </c>
      <c r="J60" s="20">
        <f>G13*I60</f>
        <v>1071.7069966640624</v>
      </c>
    </row>
    <row r="61" spans="1:61" ht="15" customHeight="1" thickBot="1" x14ac:dyDescent="0.3">
      <c r="A61" s="3"/>
      <c r="B61" s="21" t="s">
        <v>68</v>
      </c>
      <c r="C61" s="21"/>
      <c r="D61" s="21"/>
      <c r="E61" s="21"/>
      <c r="F61" s="21"/>
      <c r="G61" s="21"/>
      <c r="H61" s="21"/>
      <c r="I61" s="22">
        <f>SUM(I57:I60)</f>
        <v>1314.0866766640625</v>
      </c>
      <c r="J61" s="23">
        <f>G13*I61</f>
        <v>1314.0866766640625</v>
      </c>
      <c r="K61" s="32"/>
    </row>
    <row r="62" spans="1:61" ht="15" customHeight="1" thickTop="1" x14ac:dyDescent="0.25">
      <c r="A62" s="3"/>
      <c r="I62" s="18" t="s">
        <v>69</v>
      </c>
      <c r="K62" s="4" t="s">
        <v>3</v>
      </c>
    </row>
    <row r="63" spans="1:61" ht="15" customHeight="1" thickBot="1" x14ac:dyDescent="0.3">
      <c r="A63" s="3"/>
      <c r="B63" s="21" t="s">
        <v>70</v>
      </c>
      <c r="C63" s="21"/>
      <c r="D63" s="21"/>
      <c r="E63" s="21"/>
      <c r="F63" s="21" t="s">
        <v>49</v>
      </c>
      <c r="G63" s="21"/>
      <c r="H63" s="21"/>
      <c r="I63" s="22">
        <f>I41+I49+I61</f>
        <v>13554.827987757812</v>
      </c>
      <c r="J63" s="23">
        <f>G13*I63</f>
        <v>13554.827987757812</v>
      </c>
      <c r="K63" s="32"/>
    </row>
    <row r="64" spans="1:61" ht="15" customHeight="1" thickTop="1" x14ac:dyDescent="0.25">
      <c r="A64" s="3"/>
      <c r="I64" s="18"/>
      <c r="K64" s="10"/>
    </row>
    <row r="65" spans="1:11" ht="1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 customHeight="1" x14ac:dyDescent="0.25">
      <c r="A66" s="3"/>
    </row>
    <row r="67" spans="1:11" ht="15" customHeight="1" x14ac:dyDescent="0.25">
      <c r="A67" s="3"/>
      <c r="B67" s="76" t="s">
        <v>71</v>
      </c>
      <c r="C67" s="76"/>
      <c r="D67" s="76"/>
      <c r="E67" s="76"/>
      <c r="F67" s="76"/>
      <c r="G67" s="76"/>
      <c r="H67" s="76"/>
      <c r="I67" s="76"/>
    </row>
    <row r="68" spans="1:11" ht="15" customHeight="1" x14ac:dyDescent="0.25">
      <c r="A68" s="3"/>
      <c r="B68" s="15" t="s">
        <v>72</v>
      </c>
      <c r="C68" s="10"/>
      <c r="D68" s="10"/>
      <c r="E68" s="10"/>
      <c r="F68" s="10"/>
      <c r="G68" s="10"/>
      <c r="H68" s="10"/>
      <c r="I68" s="10">
        <f>I41/N141</f>
        <v>4.4654458194335938</v>
      </c>
    </row>
    <row r="69" spans="1:11" ht="15" customHeight="1" x14ac:dyDescent="0.25">
      <c r="A69" s="3"/>
      <c r="B69" s="15" t="s">
        <v>73</v>
      </c>
      <c r="C69" s="10"/>
      <c r="D69" s="10"/>
      <c r="E69" s="10"/>
      <c r="F69" s="10"/>
      <c r="G69" s="10"/>
      <c r="H69" s="10"/>
      <c r="I69" s="10">
        <f>I49/N141</f>
        <v>3.1850175000000003</v>
      </c>
    </row>
    <row r="70" spans="1:11" ht="15" customHeight="1" x14ac:dyDescent="0.25">
      <c r="A70" s="3"/>
      <c r="B70" s="15" t="s">
        <v>74</v>
      </c>
      <c r="C70" s="10"/>
      <c r="D70" s="10"/>
      <c r="E70" s="10" t="str">
        <f>IF(M1=2,("t."),(""))</f>
        <v/>
      </c>
      <c r="F70" s="10"/>
      <c r="G70" s="10"/>
      <c r="H70" s="10"/>
      <c r="I70" s="10">
        <f>I61/N141</f>
        <v>0.82130417291503899</v>
      </c>
      <c r="K70" s="4" t="s">
        <v>3</v>
      </c>
    </row>
    <row r="71" spans="1:11" ht="15" customHeight="1" x14ac:dyDescent="0.25">
      <c r="A71" s="3"/>
      <c r="B71" s="15" t="s">
        <v>75</v>
      </c>
      <c r="C71" s="10"/>
      <c r="D71" s="10"/>
      <c r="E71" s="10"/>
      <c r="F71" s="10"/>
      <c r="G71" s="10"/>
      <c r="H71" s="10"/>
      <c r="I71" s="10">
        <f>I63/N141</f>
        <v>8.4717674923486328</v>
      </c>
    </row>
    <row r="72" spans="1:11" ht="15" customHeight="1" x14ac:dyDescent="0.25">
      <c r="A72" s="3"/>
      <c r="B72" s="15" t="s">
        <v>76</v>
      </c>
      <c r="C72" s="10"/>
      <c r="D72" s="10"/>
      <c r="E72" s="10"/>
      <c r="F72" s="10"/>
      <c r="G72" s="10"/>
      <c r="H72" s="10"/>
      <c r="I72" s="10">
        <f>UNITCOST/MEDP</f>
        <v>1355.4827987757812</v>
      </c>
    </row>
    <row r="73" spans="1:11" ht="15" customHeight="1" x14ac:dyDescent="0.25">
      <c r="A73" s="3"/>
      <c r="K73" s="4" t="s">
        <v>69</v>
      </c>
    </row>
    <row r="74" spans="1:11" ht="15" customHeight="1" x14ac:dyDescent="0.25">
      <c r="A74" s="3"/>
    </row>
    <row r="75" spans="1:11" ht="15" customHeight="1" x14ac:dyDescent="0.25">
      <c r="A75" s="3"/>
      <c r="B75" s="4" t="s">
        <v>3</v>
      </c>
    </row>
    <row r="76" spans="1:11" ht="15" customHeight="1" x14ac:dyDescent="0.25">
      <c r="A76" s="3"/>
      <c r="B76" s="98" t="s">
        <v>77</v>
      </c>
      <c r="C76" s="98"/>
      <c r="D76" s="98"/>
      <c r="E76" s="98"/>
      <c r="F76" s="98"/>
      <c r="G76" s="98"/>
      <c r="H76" s="98"/>
      <c r="I76" s="98"/>
      <c r="J76" s="98"/>
    </row>
    <row r="77" spans="1:11" ht="15" customHeight="1" x14ac:dyDescent="0.25">
      <c r="A77" s="3"/>
    </row>
    <row r="78" spans="1:11" ht="15" customHeight="1" x14ac:dyDescent="0.25">
      <c r="A78" s="3"/>
      <c r="C78" s="78" t="s">
        <v>3</v>
      </c>
      <c r="D78" s="78" t="s">
        <v>78</v>
      </c>
      <c r="E78" s="78"/>
      <c r="F78" s="78" t="s">
        <v>79</v>
      </c>
      <c r="G78" s="78"/>
      <c r="H78" s="78" t="s">
        <v>78</v>
      </c>
      <c r="I78" s="78"/>
      <c r="J78" s="79" t="s">
        <v>80</v>
      </c>
    </row>
    <row r="79" spans="1:11" ht="15" customHeight="1" x14ac:dyDescent="0.25">
      <c r="A79" s="3"/>
      <c r="C79" s="78" t="s">
        <v>81</v>
      </c>
      <c r="D79" s="78" t="s">
        <v>82</v>
      </c>
      <c r="E79" s="78"/>
      <c r="F79" s="78" t="s">
        <v>83</v>
      </c>
      <c r="G79" s="78"/>
      <c r="H79" s="78" t="s">
        <v>84</v>
      </c>
      <c r="I79" s="78"/>
      <c r="J79" s="79" t="s">
        <v>85</v>
      </c>
    </row>
    <row r="80" spans="1:11" ht="15" customHeight="1" thickBot="1" x14ac:dyDescent="0.3">
      <c r="A80" s="3"/>
      <c r="C80" s="18">
        <f>G13</f>
        <v>1</v>
      </c>
      <c r="D80" s="18">
        <f>MEDY</f>
        <v>1600</v>
      </c>
      <c r="F80" s="54">
        <f>MEDY*0.95</f>
        <v>1520</v>
      </c>
      <c r="H80" s="4">
        <f>MEDP</f>
        <v>10</v>
      </c>
      <c r="J80" s="77">
        <f>F80*H80</f>
        <v>15200</v>
      </c>
    </row>
    <row r="81" spans="1:11" ht="15" customHeight="1" thickTop="1" x14ac:dyDescent="0.25">
      <c r="A81" s="3"/>
    </row>
    <row r="82" spans="1:11" ht="15" customHeight="1" x14ac:dyDescent="0.25">
      <c r="A82" s="3"/>
    </row>
    <row r="83" spans="1:11" ht="15" customHeight="1" thickBot="1" x14ac:dyDescent="0.3">
      <c r="A83" s="3"/>
      <c r="B83" s="80"/>
      <c r="C83" s="80"/>
      <c r="D83" s="80"/>
      <c r="E83" s="80"/>
      <c r="F83" s="80"/>
      <c r="G83" s="80"/>
      <c r="H83" s="80"/>
      <c r="I83" s="80"/>
      <c r="J83" s="80"/>
    </row>
    <row r="84" spans="1:11" ht="1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</row>
    <row r="85" spans="1:11" ht="15" customHeight="1" x14ac:dyDescent="0.25">
      <c r="A85" s="3"/>
      <c r="D85" s="10"/>
      <c r="E85" s="10"/>
      <c r="H85" s="10"/>
      <c r="I85" s="10"/>
      <c r="J85" s="10"/>
    </row>
    <row r="86" spans="1:11" ht="15" customHeight="1" x14ac:dyDescent="0.25">
      <c r="A86" s="3"/>
      <c r="B86" s="98" t="s">
        <v>86</v>
      </c>
      <c r="C86" s="98"/>
      <c r="D86" s="98"/>
      <c r="E86" s="98"/>
      <c r="F86" s="98"/>
      <c r="G86" s="98"/>
      <c r="H86" s="98"/>
      <c r="I86" s="98"/>
      <c r="J86" s="98"/>
    </row>
    <row r="87" spans="1:11" ht="15" customHeight="1" x14ac:dyDescent="0.25">
      <c r="A87" s="3"/>
      <c r="K87" s="4" t="s">
        <v>3</v>
      </c>
    </row>
    <row r="88" spans="1:11" ht="15" customHeight="1" x14ac:dyDescent="0.25">
      <c r="A88" s="3"/>
      <c r="B88" s="81" t="s">
        <v>87</v>
      </c>
      <c r="C88" s="82"/>
      <c r="D88" s="82"/>
      <c r="E88" s="82"/>
      <c r="F88" s="82"/>
      <c r="G88" s="82"/>
      <c r="H88" s="82"/>
      <c r="I88" s="82"/>
      <c r="J88" s="82"/>
    </row>
    <row r="89" spans="1:11" ht="15" customHeight="1" x14ac:dyDescent="0.25">
      <c r="A89" s="3"/>
      <c r="B89" s="81" t="s">
        <v>88</v>
      </c>
      <c r="C89" s="82"/>
      <c r="D89" s="82"/>
      <c r="E89" s="82"/>
      <c r="F89" s="82"/>
      <c r="G89" s="82"/>
      <c r="H89" s="82"/>
      <c r="I89" s="82"/>
      <c r="J89" s="82"/>
    </row>
    <row r="90" spans="1:11" ht="15" customHeight="1" x14ac:dyDescent="0.25">
      <c r="A90" s="3"/>
      <c r="B90" s="81" t="s">
        <v>89</v>
      </c>
      <c r="C90" s="82"/>
      <c r="D90" s="82"/>
      <c r="E90" s="82"/>
      <c r="F90" s="82"/>
      <c r="G90" s="82"/>
      <c r="H90" s="82"/>
      <c r="I90" s="82"/>
      <c r="J90" s="82"/>
    </row>
    <row r="91" spans="1:11" ht="15" customHeight="1" x14ac:dyDescent="0.25">
      <c r="A91" s="3"/>
      <c r="K91" s="4" t="s">
        <v>3</v>
      </c>
    </row>
    <row r="92" spans="1:11" ht="15" customHeight="1" x14ac:dyDescent="0.25">
      <c r="A92" s="3"/>
    </row>
    <row r="93" spans="1:11" ht="15" customHeight="1" x14ac:dyDescent="0.25">
      <c r="A93" s="3"/>
      <c r="B93" s="10"/>
      <c r="C93" s="10"/>
      <c r="D93" s="37" t="s">
        <v>90</v>
      </c>
      <c r="E93" s="37" t="s">
        <v>91</v>
      </c>
      <c r="F93" s="37" t="s">
        <v>92</v>
      </c>
      <c r="G93" s="37" t="s">
        <v>93</v>
      </c>
      <c r="H93" s="37" t="s">
        <v>94</v>
      </c>
      <c r="I93" s="37" t="s">
        <v>95</v>
      </c>
      <c r="J93" s="37" t="s">
        <v>96</v>
      </c>
    </row>
    <row r="94" spans="1:11" ht="15" customHeight="1" x14ac:dyDescent="0.25">
      <c r="A94" s="3"/>
      <c r="B94" s="10" t="s">
        <v>97</v>
      </c>
      <c r="C94" s="10"/>
      <c r="D94" s="66">
        <f>P160+1.5*N157</f>
        <v>5053.80952935613</v>
      </c>
      <c r="E94" s="66">
        <f>(P160+N157)</f>
        <v>4184.2636903181501</v>
      </c>
      <c r="F94" s="66">
        <f>P160+0.5*N157</f>
        <v>3314.7178512801693</v>
      </c>
      <c r="G94" s="66">
        <f>P160</f>
        <v>2445.1720122421884</v>
      </c>
      <c r="H94" s="66">
        <f>P160-0.5*P157</f>
        <v>1575.6261732042078</v>
      </c>
      <c r="I94" s="66">
        <f>P160-P157</f>
        <v>706.0803341662272</v>
      </c>
      <c r="J94" s="95">
        <f>P160-1.5*P157</f>
        <v>-163.46550487175318</v>
      </c>
    </row>
    <row r="95" spans="1:11" ht="15" customHeight="1" x14ac:dyDescent="0.25">
      <c r="A95" s="3"/>
      <c r="B95" s="10" t="s">
        <v>98</v>
      </c>
      <c r="C95" s="10"/>
      <c r="D95" s="93">
        <f>IF(O163&lt;1,IF(N163,S163,1-S163),IF(N163,W163,1-W163))</f>
        <v>6.6807279375848599E-2</v>
      </c>
      <c r="E95" s="93">
        <f>IF(Y163&lt;1,IF(X163,AC163,1-AC163),IF(X163,AG163,1-AG163))</f>
        <v>0.15865531316113046</v>
      </c>
      <c r="F95" s="93">
        <f>IF(AU163&lt;1,IF(AT163,AY163,1-AY163),IF(AT163,BC163,1-BC163))</f>
        <v>0.30853755861792775</v>
      </c>
      <c r="G95" s="93">
        <f>IF(O164&lt;1,IF(N164,S164,1-S164),IF(N164,W164,1-W164))</f>
        <v>0.50000000022538427</v>
      </c>
      <c r="H95" s="94">
        <f>IF(Y164&lt;1,IF(X164,AC164,1-AC164),IF(X164,AG164,1-AG164))</f>
        <v>0.69146244138207225</v>
      </c>
      <c r="I95" s="94">
        <f>IF(AU165&lt;1,IF(AT165,AY165,1-AY165),IF(AT165,BC165,1-BC165))</f>
        <v>0.84134468683886943</v>
      </c>
      <c r="J95" s="94">
        <f>IF(O165&lt;1,IF(N165,S165,1-S165),IF(N165,W165,1-W165))</f>
        <v>0.93319272062415137</v>
      </c>
    </row>
    <row r="96" spans="1:11" ht="15" customHeight="1" x14ac:dyDescent="0.25">
      <c r="A96" s="3"/>
      <c r="B96" s="10" t="s">
        <v>98</v>
      </c>
      <c r="C96" s="10"/>
      <c r="D96" s="94">
        <f>IF(O163&lt;1,IF(N163,1-S163,S163),IF(N163,1-W163,W163))</f>
        <v>0.93319272062415137</v>
      </c>
      <c r="E96" s="94">
        <f>IF(Y163&lt;1,IF(X163,1-AC163,AC163),IF(X163,1-AG163,AG163))</f>
        <v>0.84134468683886954</v>
      </c>
      <c r="F96" s="94">
        <f>IF(AU163&lt;1,IF(AT163,1-AY163,AY163),IF(AT163,1-BC163,BC163))</f>
        <v>0.69146244138207225</v>
      </c>
      <c r="G96" s="93">
        <f>IF(O164&lt;1,IF(N164,1-S164,S164),IF(N164,1-W164,W164))</f>
        <v>0.49999999977461573</v>
      </c>
      <c r="H96" s="93">
        <f>IF(Y164&lt;1,IF(X164,1-AC164,AC164),IF(X164,1-AG164,AG164))</f>
        <v>0.30853755861792775</v>
      </c>
      <c r="I96" s="93">
        <f>IF(AU165&lt;1,IF(AT165,1-AY165,AY165),IF(AT165,1-BC165,BC165))</f>
        <v>0.15865531316113052</v>
      </c>
      <c r="J96" s="93">
        <f>IF(O165&lt;1,IF(N165,1-S165,S165),IF(N165,1-W165,W165))</f>
        <v>6.6807279375848599E-2</v>
      </c>
    </row>
    <row r="97" spans="1:14" ht="1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4" t="s">
        <v>69</v>
      </c>
    </row>
    <row r="98" spans="1:14" ht="15" customHeight="1" thickBot="1" x14ac:dyDescent="0.3">
      <c r="A98" s="3"/>
      <c r="B98" s="38" t="s">
        <v>99</v>
      </c>
      <c r="C98" s="38"/>
      <c r="D98" s="10"/>
      <c r="E98" s="39">
        <f>IF(Y165&lt;1,IF(X165,AC165,1-AC165),IF(X165,AG165,1-AG165))</f>
        <v>0.9201386116611473</v>
      </c>
      <c r="F98" s="38" t="s">
        <v>100</v>
      </c>
      <c r="G98" s="10"/>
      <c r="H98" s="10"/>
      <c r="I98" s="10"/>
      <c r="J98" s="40">
        <f>G13*(F16*F17-I63)</f>
        <v>2445.1720122421884</v>
      </c>
    </row>
    <row r="99" spans="1:14" ht="15" customHeight="1" thickTop="1" x14ac:dyDescent="0.25">
      <c r="A99" s="3"/>
    </row>
    <row r="100" spans="1:14" ht="15" customHeight="1" x14ac:dyDescent="0.25">
      <c r="K100" s="4" t="s">
        <v>69</v>
      </c>
    </row>
    <row r="101" spans="1:14" ht="15" customHeight="1" x14ac:dyDescent="0.25">
      <c r="J101" s="15"/>
      <c r="K101" s="15"/>
      <c r="L101" s="15"/>
      <c r="M101" s="15"/>
      <c r="N101" s="15"/>
    </row>
    <row r="102" spans="1:14" ht="15" customHeight="1" x14ac:dyDescent="0.25"/>
    <row r="103" spans="1:14" ht="15" customHeight="1" x14ac:dyDescent="0.25"/>
    <row r="104" spans="1:14" ht="15" customHeight="1" x14ac:dyDescent="0.25">
      <c r="C104" s="21" t="s">
        <v>101</v>
      </c>
    </row>
    <row r="105" spans="1:14" ht="15" customHeight="1" x14ac:dyDescent="0.25">
      <c r="B105" s="10"/>
      <c r="C105" s="41"/>
      <c r="D105" s="10"/>
      <c r="E105" s="10"/>
      <c r="F105" s="10"/>
      <c r="G105" s="10"/>
      <c r="H105" s="10"/>
      <c r="I105" s="10"/>
      <c r="J105" s="21" t="s">
        <v>102</v>
      </c>
    </row>
    <row r="106" spans="1:14" ht="15" customHeight="1" x14ac:dyDescent="0.25">
      <c r="B106" s="10"/>
      <c r="C106" s="42" t="s">
        <v>90</v>
      </c>
      <c r="D106" s="42" t="s">
        <v>91</v>
      </c>
      <c r="E106" s="42" t="s">
        <v>91</v>
      </c>
      <c r="F106" s="42" t="s">
        <v>93</v>
      </c>
      <c r="G106" s="42" t="s">
        <v>94</v>
      </c>
      <c r="H106" s="42" t="s">
        <v>94</v>
      </c>
      <c r="I106" s="42" t="s">
        <v>96</v>
      </c>
      <c r="J106" s="42" t="s">
        <v>103</v>
      </c>
    </row>
    <row r="107" spans="1:14" ht="15" customHeight="1" x14ac:dyDescent="0.25">
      <c r="B107" s="83" t="s">
        <v>241</v>
      </c>
      <c r="C107" s="42"/>
      <c r="D107" s="42"/>
      <c r="E107" s="42"/>
      <c r="F107" s="42">
        <f>MEDY*0.95</f>
        <v>1520</v>
      </c>
      <c r="G107" s="43"/>
      <c r="H107" s="43"/>
      <c r="I107" s="43"/>
      <c r="J107" s="43"/>
    </row>
    <row r="108" spans="1:14" ht="15" customHeight="1" x14ac:dyDescent="0.25">
      <c r="B108" s="42"/>
      <c r="C108" s="42"/>
      <c r="D108" s="42"/>
      <c r="E108" s="42"/>
      <c r="F108" s="42"/>
      <c r="G108" s="43"/>
      <c r="H108" s="43"/>
      <c r="I108" s="43"/>
      <c r="J108" s="43"/>
    </row>
    <row r="109" spans="1:14" ht="15" customHeight="1" x14ac:dyDescent="0.25">
      <c r="B109" s="44">
        <v>8</v>
      </c>
      <c r="C109" s="45">
        <v>1751</v>
      </c>
      <c r="D109" s="45">
        <v>916</v>
      </c>
      <c r="E109" s="45">
        <v>81</v>
      </c>
      <c r="F109" s="97">
        <v>-755</v>
      </c>
      <c r="G109" s="46">
        <v>-1590</v>
      </c>
      <c r="H109" s="46">
        <v>-2426</v>
      </c>
      <c r="I109" s="46">
        <v>-3261</v>
      </c>
      <c r="J109" s="45">
        <v>33</v>
      </c>
    </row>
    <row r="110" spans="1:14" ht="15" customHeight="1" x14ac:dyDescent="0.25">
      <c r="B110" s="44">
        <v>9</v>
      </c>
      <c r="C110" s="45">
        <v>3399</v>
      </c>
      <c r="D110" s="45">
        <v>2548</v>
      </c>
      <c r="E110" s="45">
        <v>1696</v>
      </c>
      <c r="F110" s="45">
        <v>845</v>
      </c>
      <c r="G110" s="97">
        <v>-6</v>
      </c>
      <c r="H110" s="97">
        <v>-857</v>
      </c>
      <c r="I110" s="46">
        <v>-1708</v>
      </c>
      <c r="J110" s="45">
        <v>69</v>
      </c>
    </row>
    <row r="111" spans="1:14" ht="15" customHeight="1" x14ac:dyDescent="0.25">
      <c r="B111" s="42">
        <v>10</v>
      </c>
      <c r="C111" s="13">
        <v>5054</v>
      </c>
      <c r="D111" s="13">
        <v>4184</v>
      </c>
      <c r="E111" s="13">
        <v>3315</v>
      </c>
      <c r="F111" s="13">
        <v>2445</v>
      </c>
      <c r="G111" s="13">
        <v>1576</v>
      </c>
      <c r="H111" s="13">
        <v>706</v>
      </c>
      <c r="I111" s="46">
        <v>-163</v>
      </c>
      <c r="J111" s="13">
        <v>92</v>
      </c>
    </row>
    <row r="112" spans="1:14" ht="15" customHeight="1" x14ac:dyDescent="0.25">
      <c r="B112" s="44">
        <v>11</v>
      </c>
      <c r="C112" s="45">
        <v>6716</v>
      </c>
      <c r="D112" s="45">
        <v>5826</v>
      </c>
      <c r="E112" s="45">
        <v>4936</v>
      </c>
      <c r="F112" s="45">
        <v>4045</v>
      </c>
      <c r="G112" s="45">
        <v>3155</v>
      </c>
      <c r="H112" s="45">
        <v>2265</v>
      </c>
      <c r="I112" s="45">
        <v>1374</v>
      </c>
      <c r="J112" s="45">
        <v>99</v>
      </c>
    </row>
    <row r="113" spans="2:22" ht="15" customHeight="1" x14ac:dyDescent="0.25">
      <c r="B113" s="44">
        <v>12</v>
      </c>
      <c r="C113" s="45">
        <v>8385</v>
      </c>
      <c r="D113" s="45">
        <v>7472</v>
      </c>
      <c r="E113" s="45">
        <v>6559</v>
      </c>
      <c r="F113" s="45">
        <v>5645</v>
      </c>
      <c r="G113" s="45">
        <v>4732</v>
      </c>
      <c r="H113" s="45">
        <v>3818</v>
      </c>
      <c r="I113" s="45">
        <v>2905</v>
      </c>
      <c r="J113" s="45">
        <v>99</v>
      </c>
    </row>
    <row r="114" spans="2:22" ht="15" customHeight="1" x14ac:dyDescent="0.25">
      <c r="Q114" s="44"/>
      <c r="R114" s="44"/>
      <c r="S114" s="44"/>
      <c r="T114" s="44"/>
      <c r="U114" s="44"/>
      <c r="V114" s="16"/>
    </row>
    <row r="115" spans="2:22" ht="15" customHeight="1" x14ac:dyDescent="0.25">
      <c r="B115" s="48" t="s">
        <v>104</v>
      </c>
      <c r="C115" s="96"/>
      <c r="D115" s="96"/>
      <c r="E115" s="96"/>
      <c r="F115" s="96"/>
      <c r="G115" s="96"/>
      <c r="H115" s="96"/>
      <c r="I115" s="96"/>
      <c r="J115" s="96"/>
    </row>
    <row r="116" spans="2:22" ht="15" customHeight="1" x14ac:dyDescent="0.25">
      <c r="B116" s="96" t="s">
        <v>105</v>
      </c>
      <c r="C116" s="96"/>
      <c r="D116" s="96"/>
      <c r="E116" s="96"/>
      <c r="F116" s="96"/>
      <c r="G116" s="96"/>
      <c r="H116" s="96"/>
      <c r="I116" s="96"/>
      <c r="J116" s="96"/>
    </row>
    <row r="117" spans="2:22" ht="15" customHeight="1" x14ac:dyDescent="0.25">
      <c r="B117" s="96" t="s">
        <v>106</v>
      </c>
      <c r="C117" s="96"/>
      <c r="D117" s="96"/>
      <c r="E117" s="96"/>
      <c r="F117" s="96"/>
      <c r="G117" s="96"/>
      <c r="H117" s="96"/>
      <c r="I117" s="96"/>
      <c r="J117" s="96"/>
    </row>
    <row r="118" spans="2:22" ht="15" customHeight="1" x14ac:dyDescent="0.25">
      <c r="B118" s="96" t="s">
        <v>107</v>
      </c>
      <c r="C118" s="96"/>
      <c r="D118" s="96"/>
      <c r="E118" s="96"/>
      <c r="F118" s="96"/>
      <c r="G118" s="96"/>
      <c r="H118" s="96"/>
      <c r="I118" s="96"/>
      <c r="J118" s="96"/>
    </row>
    <row r="119" spans="2:22" x14ac:dyDescent="0.25">
      <c r="B119" s="96"/>
      <c r="C119" s="96"/>
      <c r="D119" s="96"/>
      <c r="E119" s="96"/>
      <c r="F119" s="96"/>
      <c r="G119" s="96"/>
      <c r="H119" s="96"/>
      <c r="I119" s="96"/>
      <c r="J119" s="96"/>
    </row>
    <row r="125" spans="2:22" x14ac:dyDescent="0.25">
      <c r="K125" s="4" t="s">
        <v>108</v>
      </c>
    </row>
    <row r="126" spans="2:22" x14ac:dyDescent="0.25">
      <c r="M126" s="4" t="s">
        <v>108</v>
      </c>
      <c r="N126" s="4" t="s">
        <v>108</v>
      </c>
      <c r="R126" s="4" t="s">
        <v>108</v>
      </c>
    </row>
    <row r="127" spans="2:22" x14ac:dyDescent="0.25">
      <c r="M127" s="4" t="s">
        <v>108</v>
      </c>
      <c r="N127" s="4" t="s">
        <v>109</v>
      </c>
      <c r="R127" s="4" t="s">
        <v>108</v>
      </c>
    </row>
    <row r="128" spans="2:22" x14ac:dyDescent="0.25">
      <c r="M128" s="4" t="s">
        <v>108</v>
      </c>
      <c r="N128" s="4" t="s">
        <v>110</v>
      </c>
      <c r="R128" s="4" t="s">
        <v>108</v>
      </c>
    </row>
    <row r="129" spans="11:18" x14ac:dyDescent="0.25">
      <c r="M129" s="4" t="s">
        <v>108</v>
      </c>
      <c r="N129" s="4">
        <f>G13</f>
        <v>1</v>
      </c>
      <c r="O129" s="4" t="s">
        <v>111</v>
      </c>
      <c r="R129" s="4" t="s">
        <v>108</v>
      </c>
    </row>
    <row r="130" spans="11:18" x14ac:dyDescent="0.25">
      <c r="M130" s="4" t="s">
        <v>108</v>
      </c>
      <c r="N130" s="4">
        <f>D16</f>
        <v>1800</v>
      </c>
      <c r="O130" s="4" t="s">
        <v>112</v>
      </c>
      <c r="P130" s="4">
        <f>D17</f>
        <v>12</v>
      </c>
      <c r="Q130" s="4" t="s">
        <v>113</v>
      </c>
      <c r="R130" s="4" t="s">
        <v>108</v>
      </c>
    </row>
    <row r="131" spans="11:18" x14ac:dyDescent="0.25">
      <c r="M131" s="4" t="s">
        <v>108</v>
      </c>
      <c r="N131" s="4">
        <f>E16</f>
        <v>1700</v>
      </c>
      <c r="O131" s="4" t="s">
        <v>114</v>
      </c>
      <c r="P131" s="4">
        <f>E17</f>
        <v>11</v>
      </c>
      <c r="Q131" s="4" t="s">
        <v>115</v>
      </c>
      <c r="R131" s="4" t="s">
        <v>108</v>
      </c>
    </row>
    <row r="132" spans="11:18" x14ac:dyDescent="0.25">
      <c r="M132" s="4" t="s">
        <v>108</v>
      </c>
      <c r="N132" s="4">
        <f>F16</f>
        <v>1600</v>
      </c>
      <c r="O132" s="4" t="s">
        <v>116</v>
      </c>
      <c r="P132" s="4">
        <f>F17</f>
        <v>10</v>
      </c>
      <c r="Q132" s="4" t="s">
        <v>117</v>
      </c>
      <c r="R132" s="4" t="s">
        <v>108</v>
      </c>
    </row>
    <row r="133" spans="11:18" x14ac:dyDescent="0.25">
      <c r="M133" s="4" t="s">
        <v>108</v>
      </c>
      <c r="N133" s="4">
        <f>G16</f>
        <v>1500</v>
      </c>
      <c r="O133" s="4" t="s">
        <v>118</v>
      </c>
      <c r="P133" s="4">
        <f>G17</f>
        <v>9</v>
      </c>
      <c r="Q133" s="4" t="s">
        <v>119</v>
      </c>
      <c r="R133" s="4" t="s">
        <v>108</v>
      </c>
    </row>
    <row r="134" spans="11:18" x14ac:dyDescent="0.25">
      <c r="M134" s="4" t="s">
        <v>108</v>
      </c>
      <c r="N134" s="4">
        <f>H16</f>
        <v>1400</v>
      </c>
      <c r="O134" s="4" t="s">
        <v>120</v>
      </c>
      <c r="P134" s="4">
        <f>H17</f>
        <v>8</v>
      </c>
      <c r="Q134" s="4" t="s">
        <v>121</v>
      </c>
      <c r="R134" s="4" t="s">
        <v>108</v>
      </c>
    </row>
    <row r="135" spans="11:18" x14ac:dyDescent="0.25">
      <c r="M135" s="4" t="s">
        <v>108</v>
      </c>
      <c r="N135" s="4">
        <f>I69</f>
        <v>3.1850175000000003</v>
      </c>
      <c r="O135" s="4" t="s">
        <v>122</v>
      </c>
      <c r="R135" s="4" t="s">
        <v>108</v>
      </c>
    </row>
    <row r="136" spans="11:18" x14ac:dyDescent="0.25">
      <c r="M136" s="4" t="s">
        <v>108</v>
      </c>
      <c r="N136" s="4">
        <f>I41+I61</f>
        <v>8458.7999877578113</v>
      </c>
      <c r="O136" s="4" t="s">
        <v>123</v>
      </c>
      <c r="R136" s="4" t="s">
        <v>108</v>
      </c>
    </row>
    <row r="137" spans="11:18" x14ac:dyDescent="0.25">
      <c r="M137" s="4" t="s">
        <v>108</v>
      </c>
      <c r="N137" s="4" t="s">
        <v>108</v>
      </c>
      <c r="R137" s="4" t="s">
        <v>108</v>
      </c>
    </row>
    <row r="138" spans="11:18" x14ac:dyDescent="0.25">
      <c r="M138" s="4" t="s">
        <v>124</v>
      </c>
      <c r="N138" s="4" t="s">
        <v>110</v>
      </c>
      <c r="R138" s="4" t="s">
        <v>124</v>
      </c>
    </row>
    <row r="139" spans="11:18" x14ac:dyDescent="0.25">
      <c r="M139" s="4" t="s">
        <v>124</v>
      </c>
      <c r="O139" s="4" t="s">
        <v>125</v>
      </c>
      <c r="R139" s="4" t="s">
        <v>124</v>
      </c>
    </row>
    <row r="140" spans="11:18" x14ac:dyDescent="0.25">
      <c r="M140" s="4" t="s">
        <v>124</v>
      </c>
      <c r="N140" s="4" t="s">
        <v>110</v>
      </c>
      <c r="R140" s="4" t="s">
        <v>124</v>
      </c>
    </row>
    <row r="141" spans="11:18" x14ac:dyDescent="0.25">
      <c r="K141" s="4" t="s">
        <v>110</v>
      </c>
      <c r="M141" s="4" t="s">
        <v>124</v>
      </c>
      <c r="N141" s="4">
        <f>0.04*N130+0.25*N131+0.42*N132+0.25*N133+0.04*N134</f>
        <v>1600</v>
      </c>
      <c r="O141" s="4" t="s">
        <v>126</v>
      </c>
      <c r="P141" s="4">
        <f>0.04*P130+0.25*P131+0.42*P132+0.25*P133+0.04*P134</f>
        <v>10</v>
      </c>
      <c r="Q141" s="4" t="s">
        <v>127</v>
      </c>
      <c r="R141" s="4" t="s">
        <v>124</v>
      </c>
    </row>
    <row r="142" spans="11:18" x14ac:dyDescent="0.25">
      <c r="M142" s="4" t="s">
        <v>124</v>
      </c>
      <c r="N142" s="4">
        <f>0.25*(N130-N141)+0.5*(N131-N141)</f>
        <v>100</v>
      </c>
      <c r="O142" s="4" t="s">
        <v>128</v>
      </c>
      <c r="P142" s="4">
        <f>0.25*(P130-P141)+0.5*(P131-P141)</f>
        <v>1</v>
      </c>
      <c r="Q142" s="4" t="s">
        <v>129</v>
      </c>
      <c r="R142" s="4" t="s">
        <v>124</v>
      </c>
    </row>
    <row r="143" spans="11:18" x14ac:dyDescent="0.25">
      <c r="M143" s="4" t="s">
        <v>124</v>
      </c>
      <c r="N143" s="4">
        <f>0.25*(N141-N134)+0.5*(N141-N133)</f>
        <v>100</v>
      </c>
      <c r="O143" s="4" t="s">
        <v>130</v>
      </c>
      <c r="P143" s="4">
        <f>0.25*(P141-P134)+0.5*(P141-P133)</f>
        <v>1</v>
      </c>
      <c r="Q143" s="4" t="s">
        <v>131</v>
      </c>
      <c r="R143" s="4" t="s">
        <v>124</v>
      </c>
    </row>
    <row r="144" spans="11:18" x14ac:dyDescent="0.25">
      <c r="M144" s="4" t="s">
        <v>124</v>
      </c>
      <c r="N144" s="4">
        <f>N142^2</f>
        <v>10000</v>
      </c>
      <c r="O144" s="4" t="s">
        <v>132</v>
      </c>
      <c r="P144" s="4">
        <f>P142^2</f>
        <v>1</v>
      </c>
      <c r="Q144" s="4" t="s">
        <v>133</v>
      </c>
      <c r="R144" s="4" t="s">
        <v>124</v>
      </c>
    </row>
    <row r="145" spans="8:19" x14ac:dyDescent="0.25">
      <c r="M145" s="4" t="s">
        <v>124</v>
      </c>
      <c r="N145" s="4">
        <f>N143^2</f>
        <v>10000</v>
      </c>
      <c r="O145" s="4" t="s">
        <v>134</v>
      </c>
      <c r="P145" s="4">
        <f>P143^2</f>
        <v>1</v>
      </c>
      <c r="Q145" s="4" t="s">
        <v>135</v>
      </c>
      <c r="R145" s="4" t="s">
        <v>124</v>
      </c>
    </row>
    <row r="146" spans="8:19" x14ac:dyDescent="0.25">
      <c r="M146" s="4" t="s">
        <v>124</v>
      </c>
      <c r="N146" s="4" t="s">
        <v>110</v>
      </c>
      <c r="R146" s="4" t="s">
        <v>124</v>
      </c>
    </row>
    <row r="147" spans="8:19" x14ac:dyDescent="0.25">
      <c r="M147" s="4" t="s">
        <v>124</v>
      </c>
      <c r="N147" s="18">
        <f>(N141^2*P144)+(P141-N135)^2*N144</f>
        <v>3024439.8647530624</v>
      </c>
      <c r="O147" s="18" t="s">
        <v>136</v>
      </c>
      <c r="P147" s="18">
        <f>(N141^2*P145)+(P141-N135)^2*N145</f>
        <v>3024439.8647530624</v>
      </c>
      <c r="Q147" s="4" t="s">
        <v>137</v>
      </c>
      <c r="R147" s="4" t="s">
        <v>124</v>
      </c>
    </row>
    <row r="148" spans="8:19" x14ac:dyDescent="0.25">
      <c r="M148" s="4" t="s">
        <v>124</v>
      </c>
      <c r="N148" s="18">
        <f>(N141^2*P144)+(P141-N135)^2*N145</f>
        <v>3024439.8647530624</v>
      </c>
      <c r="O148" s="18" t="s">
        <v>138</v>
      </c>
      <c r="P148" s="18">
        <f>N141^2*P145+(P141-N135)^2*N144</f>
        <v>3024439.8647530624</v>
      </c>
      <c r="Q148" s="4" t="s">
        <v>139</v>
      </c>
      <c r="R148" s="4" t="s">
        <v>124</v>
      </c>
    </row>
    <row r="149" spans="8:19" x14ac:dyDescent="0.25">
      <c r="M149" s="4" t="s">
        <v>124</v>
      </c>
      <c r="N149" s="18">
        <f>SQRT(N147)</f>
        <v>1739.0916780759612</v>
      </c>
      <c r="O149" s="18" t="s">
        <v>140</v>
      </c>
      <c r="P149" s="18">
        <f>SQRT(P147)</f>
        <v>1739.0916780759612</v>
      </c>
      <c r="Q149" s="4" t="s">
        <v>141</v>
      </c>
      <c r="R149" s="4" t="s">
        <v>124</v>
      </c>
    </row>
    <row r="150" spans="8:19" x14ac:dyDescent="0.25">
      <c r="M150" s="4" t="s">
        <v>124</v>
      </c>
      <c r="N150" s="18">
        <f>SQRT(N148)</f>
        <v>1739.0916780759612</v>
      </c>
      <c r="O150" s="18" t="s">
        <v>142</v>
      </c>
      <c r="P150" s="18">
        <f>SQRT(P148)</f>
        <v>1739.0916780759612</v>
      </c>
      <c r="Q150" s="4" t="s">
        <v>143</v>
      </c>
      <c r="R150" s="4" t="s">
        <v>124</v>
      </c>
    </row>
    <row r="151" spans="8:19" x14ac:dyDescent="0.25">
      <c r="M151" s="4" t="s">
        <v>124</v>
      </c>
      <c r="N151" s="18">
        <f>0.66*N149+0.17*N150+0.17*P150</f>
        <v>1739.0916780759612</v>
      </c>
      <c r="O151" s="18" t="s">
        <v>144</v>
      </c>
      <c r="P151" s="18">
        <f>0.66*P149+0.17*N150+0.17*P150</f>
        <v>1739.0916780759612</v>
      </c>
      <c r="Q151" s="4" t="s">
        <v>145</v>
      </c>
      <c r="R151" s="4" t="s">
        <v>124</v>
      </c>
    </row>
    <row r="152" spans="8:19" x14ac:dyDescent="0.25">
      <c r="M152" s="4" t="s">
        <v>124</v>
      </c>
      <c r="N152" s="4" t="s">
        <v>110</v>
      </c>
      <c r="R152" s="4" t="s">
        <v>124</v>
      </c>
    </row>
    <row r="153" spans="8:19" x14ac:dyDescent="0.25">
      <c r="M153" s="4" t="s">
        <v>124</v>
      </c>
      <c r="N153" s="4" t="s">
        <v>146</v>
      </c>
      <c r="R153" s="4" t="s">
        <v>124</v>
      </c>
      <c r="S153" s="4" t="s">
        <v>3</v>
      </c>
    </row>
    <row r="154" spans="8:19" x14ac:dyDescent="0.25">
      <c r="M154" s="4" t="s">
        <v>124</v>
      </c>
      <c r="N154" s="4" t="s">
        <v>110</v>
      </c>
      <c r="R154" s="4" t="s">
        <v>124</v>
      </c>
    </row>
    <row r="155" spans="8:19" x14ac:dyDescent="0.25">
      <c r="M155" s="4" t="s">
        <v>147</v>
      </c>
      <c r="N155" s="4">
        <f>N149*N129</f>
        <v>1739.0916780759612</v>
      </c>
      <c r="O155" s="4" t="s">
        <v>140</v>
      </c>
      <c r="P155" s="4">
        <f>P149*N129</f>
        <v>1739.0916780759612</v>
      </c>
      <c r="Q155" s="4" t="s">
        <v>141</v>
      </c>
      <c r="R155" s="4" t="s">
        <v>124</v>
      </c>
    </row>
    <row r="156" spans="8:19" x14ac:dyDescent="0.25">
      <c r="K156" s="4" t="s">
        <v>110</v>
      </c>
      <c r="M156" s="4" t="s">
        <v>124</v>
      </c>
      <c r="N156" s="4">
        <f>N150*N129</f>
        <v>1739.0916780759612</v>
      </c>
      <c r="O156" s="4" t="s">
        <v>142</v>
      </c>
      <c r="P156" s="4">
        <f>P150*N129</f>
        <v>1739.0916780759612</v>
      </c>
      <c r="Q156" s="4" t="s">
        <v>143</v>
      </c>
      <c r="R156" s="4" t="s">
        <v>124</v>
      </c>
    </row>
    <row r="157" spans="8:19" x14ac:dyDescent="0.25">
      <c r="H157" s="30" t="s">
        <v>57</v>
      </c>
      <c r="M157" s="4" t="s">
        <v>124</v>
      </c>
      <c r="N157" s="18">
        <f>N129*N151</f>
        <v>1739.0916780759612</v>
      </c>
      <c r="O157" s="4" t="s">
        <v>144</v>
      </c>
      <c r="P157" s="18">
        <f>N129*P151</f>
        <v>1739.0916780759612</v>
      </c>
      <c r="Q157" s="4" t="s">
        <v>145</v>
      </c>
      <c r="R157" s="4" t="s">
        <v>124</v>
      </c>
    </row>
    <row r="158" spans="8:19" x14ac:dyDescent="0.25">
      <c r="M158" s="4" t="s">
        <v>124</v>
      </c>
      <c r="N158" s="4">
        <f>P132</f>
        <v>10</v>
      </c>
      <c r="O158" s="4" t="s">
        <v>148</v>
      </c>
      <c r="P158" s="4">
        <f>N132</f>
        <v>1600</v>
      </c>
      <c r="Q158" s="4" t="s">
        <v>149</v>
      </c>
      <c r="R158" s="4" t="s">
        <v>124</v>
      </c>
    </row>
    <row r="159" spans="8:19" x14ac:dyDescent="0.25">
      <c r="M159" s="4" t="s">
        <v>124</v>
      </c>
      <c r="N159" s="18">
        <f>N129*N141*P141</f>
        <v>16000</v>
      </c>
      <c r="O159" s="4" t="s">
        <v>150</v>
      </c>
      <c r="P159" s="18">
        <f>(N136+N132*N135)*N129</f>
        <v>13554.827987757812</v>
      </c>
      <c r="Q159" s="4" t="s">
        <v>151</v>
      </c>
      <c r="R159" s="4" t="s">
        <v>124</v>
      </c>
    </row>
    <row r="160" spans="8:19" x14ac:dyDescent="0.25">
      <c r="M160" s="4" t="s">
        <v>124</v>
      </c>
      <c r="N160" s="4">
        <f>N159+(0.33*(P157-N157))</f>
        <v>16000</v>
      </c>
      <c r="O160" s="4" t="s">
        <v>152</v>
      </c>
      <c r="P160" s="18">
        <f>N159-P159</f>
        <v>2445.1720122421884</v>
      </c>
      <c r="Q160" s="4" t="s">
        <v>153</v>
      </c>
      <c r="R160" s="4" t="s">
        <v>124</v>
      </c>
    </row>
    <row r="161" spans="13:55" x14ac:dyDescent="0.25">
      <c r="M161" s="4" t="s">
        <v>124</v>
      </c>
      <c r="N161" s="18">
        <f>N160-P159</f>
        <v>2445.1720122421884</v>
      </c>
      <c r="O161" s="4" t="s">
        <v>154</v>
      </c>
      <c r="P161" s="4">
        <f>P160-N161</f>
        <v>0</v>
      </c>
      <c r="Q161" s="4" t="s">
        <v>155</v>
      </c>
      <c r="R161" s="4" t="s">
        <v>124</v>
      </c>
    </row>
    <row r="162" spans="13:55" x14ac:dyDescent="0.25">
      <c r="M162" s="4" t="s">
        <v>124</v>
      </c>
      <c r="N162" s="4" t="s">
        <v>110</v>
      </c>
      <c r="R162" s="4" t="s">
        <v>124</v>
      </c>
    </row>
    <row r="163" spans="13:55" x14ac:dyDescent="0.25">
      <c r="N163" s="4" t="b">
        <f>+D94&gt;=N161</f>
        <v>1</v>
      </c>
      <c r="O163" s="4">
        <f>ABS((D94-P160)/IF(N163,N157,P157))</f>
        <v>1.4999999999999998</v>
      </c>
      <c r="P163" s="4">
        <f>MIN(2.5,ABS((D94-(N161+P161*ABS(D94-N161)/ABS(IF(N163,N157+P161,P157-P161))*MIN(1,O163)))/(MIN(1.52,O163)/1.52*IF(N163,N155,P155)+(1.52-MIN(1.52,O163))/3.04*N156+(1.52-MIN(1.52,O163))/3.04*P156)))</f>
        <v>1.5</v>
      </c>
      <c r="Q163" s="4">
        <f>1/(1+(0.2316419*P163))</f>
        <v>0.74213548818804176</v>
      </c>
      <c r="R163" s="4">
        <f>0.398942281*((2.71828)^((-(P163^2)/2)))</f>
        <v>0.12951769387066342</v>
      </c>
      <c r="S163" s="4">
        <f>R163*(0.31938153*Q163-0.356563782*Q163^2+1.781477937*Q163^3-1.821255978*Q163^4+1.330274429*Q163^5)</f>
        <v>6.6807279375848599E-2</v>
      </c>
      <c r="T163" s="4">
        <f>MIN(2.5,ABS((D94-P160)/(MIN(1.52,O163)/1.52*IF(N163,N155,P155)+(1.52-MIN(1.52,O163))/3.04*N156+(1.52-MIN(1.52,O163))/3.04*P156)))</f>
        <v>1.5</v>
      </c>
      <c r="U163" s="4">
        <f>1/(1+(0.2316419*T163))</f>
        <v>0.74213548818804176</v>
      </c>
      <c r="V163" s="4">
        <f>0.398942281*((2.71828)^((-(T163^2)/2)))</f>
        <v>0.12951769387066342</v>
      </c>
      <c r="W163" s="4">
        <f>V163*(0.31938153*U163-0.356563782*U163^2+1.781477937*U163^3-1.821255978*U163^4+1.330274429*U163^5)</f>
        <v>6.6807279375848599E-2</v>
      </c>
      <c r="X163" s="4" t="b">
        <f>+E94&gt;=N161</f>
        <v>1</v>
      </c>
      <c r="Y163" s="4">
        <f>ABS((E94-P160)/IF(X163,N157,P157))</f>
        <v>1.0000000000000002</v>
      </c>
      <c r="Z163" s="4">
        <f>MIN(2.5,ABS((E94-(N161+P161*ABS(E94-N161)/ABS(IF(X163,N157+P161,P157-P161))*MIN(1,Y163)))/(MIN(1.52,Y163)/1.52*IF(X163,N155,P155)+(1.52-MIN(1.52,Y163))/3.04*N156+(1.52-MIN(1.52,Y163))/3.04*P156)))</f>
        <v>1.0000000000000002</v>
      </c>
      <c r="AA163" s="4">
        <f>1/(1+(0.2316419*Z163))</f>
        <v>0.81192431014242039</v>
      </c>
      <c r="AB163" s="4">
        <f>0.398942281*((2.71828)^((-(Z163^2)/2)))</f>
        <v>0.24197080626333928</v>
      </c>
      <c r="AC163" s="4">
        <f>AB163*(0.31938153*AA163-0.356563782*AA163^2+1.781477937*AA163^3-1.821255978*AA163^4+1.330274429*AA163^5)</f>
        <v>0.15865531316113046</v>
      </c>
      <c r="AD163" s="4">
        <f>MIN(2.5,ABS((E94-P160)/(MIN(1.52,Y163)/1.52*IF(X163,N155,P155)+(1.52-MIN(1.52,Y163))/3.04*N156+(1.52-MIN(1.52,Y163))/3.04*P156)))</f>
        <v>1.0000000000000002</v>
      </c>
      <c r="AE163" s="4">
        <f>1/(1+(0.2316419*AD163))</f>
        <v>0.81192431014242039</v>
      </c>
      <c r="AF163" s="4">
        <f>0.398942281*((2.71828)^((-(AD163^2)/2)))</f>
        <v>0.24197080626333928</v>
      </c>
      <c r="AG163" s="4">
        <f>AF163*(0.31938153*AE163-0.356563782*AE163^2+1.781477937*AE163^3-1.821255978*AE163^4+1.330274429*AE163^5)</f>
        <v>0.15865531316113046</v>
      </c>
      <c r="AT163" s="4" t="b">
        <f>+F94&gt;=N161</f>
        <v>1</v>
      </c>
      <c r="AU163" s="4">
        <f>ABS((F94-P160)/IF(AT163,N157,P157))</f>
        <v>0.50000000000000011</v>
      </c>
      <c r="AV163" s="4">
        <f>MIN(2.5,ABS((F94-(N161+P161*ABS(F94-N161)/ABS(IF(AT163,N157+P161,P157-P161))*MIN(1,AU163)))/(MIN(1.52,AU163)/1.52*IF(AT163,N155,P155)+(1.52-MIN(1.52,AU163))/3.04*N156+(1.52-MIN(1.52,AU163))/3.04*P156)))</f>
        <v>0.50000000000000011</v>
      </c>
      <c r="AW163" s="4">
        <f>1/(1+(0.2316419*AV163))</f>
        <v>0.89620113334491525</v>
      </c>
      <c r="AX163" s="4">
        <f>0.398942281*((2.71828)^((-(AV163^2)/2)))</f>
        <v>0.35206535689474694</v>
      </c>
      <c r="AY163" s="4">
        <f>AX163*(0.31938153*AW163-0.356563782*AW163^2+1.781477937*AW163^3-1.821255978*AW163^4+1.330274429*AW163^5)</f>
        <v>0.30853755861792775</v>
      </c>
      <c r="AZ163" s="4">
        <f>MIN(2.5,ABS((F94-P160)/(MIN(1.52,AU163)/1.52*IF(AT163,N155,P155)+(1.52-MIN(1.52,AU163))/3.04*N156+(1.52-MIN(1.52,AU163))/3.04*P156)))</f>
        <v>0.50000000000000011</v>
      </c>
      <c r="BA163" s="4">
        <f>1/(1+(0.2316419*AZ163))</f>
        <v>0.89620113334491525</v>
      </c>
      <c r="BB163" s="4">
        <f>0.398942281*((2.71828)^((-(AZ163^2)/2)))</f>
        <v>0.35206535689474694</v>
      </c>
      <c r="BC163" s="4">
        <f>BB163*(0.31938153*BA163-0.356563782*BA163^2+1.781477937*BA163^3-1.821255978*BA163^4+1.330274429*BA163^5)</f>
        <v>0.30853755861792775</v>
      </c>
    </row>
    <row r="164" spans="13:55" x14ac:dyDescent="0.25">
      <c r="N164" s="4" t="b">
        <f>+G94&gt;=N161</f>
        <v>1</v>
      </c>
      <c r="O164" s="4">
        <f>ABS((G94-P160)/IF(N164,N157,P157))</f>
        <v>0</v>
      </c>
      <c r="P164" s="4">
        <f>MIN(2.5,ABS((G94-(N161+P161*ABS(G94-N161)/ABS(IF(N164,N157+P161,P157-P161))*MIN(1,O164)))/(MIN(1.52,O164)/1.52*IF(N164,N155,P155)+(1.52-MIN(1.52,O164))/3.04*N156+(1.52-MIN(1.52,O164))/3.04*P156)))</f>
        <v>0</v>
      </c>
      <c r="Q164" s="4">
        <f>1/(1+(0.2316419*P164))</f>
        <v>1</v>
      </c>
      <c r="R164" s="4">
        <f>0.398942281*((2.71828)^((-(P164^2)/2)))</f>
        <v>0.39894228100000001</v>
      </c>
      <c r="S164" s="4">
        <f>R164*(0.31938153*Q164-0.356563782*Q164^2+1.781477937*Q164^3-1.821255978*Q164^4+1.330274429*Q164^5)</f>
        <v>0.50000000022538427</v>
      </c>
      <c r="T164" s="4">
        <f>MIN(2.5,ABS((G94-P160)/(MIN(1.52,O164)/1.52*IF(N164,N155,P155)+(1.52-MIN(1.52,O164))/3.04*N156+(1.52-MIN(1.52,O164))/3.04*P156)))</f>
        <v>0</v>
      </c>
      <c r="U164" s="4">
        <f>1/(1+(0.2316419*T164))</f>
        <v>1</v>
      </c>
      <c r="V164" s="4">
        <f>0.398942281*((2.71828)^((-(T164^2)/2)))</f>
        <v>0.39894228100000001</v>
      </c>
      <c r="W164" s="4">
        <f>V164*(0.31938153*U164-0.356563782*U164^2+1.781477937*U164^3-1.821255978*U164^4+1.330274429*U164^5)</f>
        <v>0.50000000022538427</v>
      </c>
      <c r="X164" s="4" t="b">
        <f>+H94&gt;=N161</f>
        <v>0</v>
      </c>
      <c r="Y164" s="4">
        <f>ABS((H94-P160)/IF(X164,N157,P157))</f>
        <v>0.5</v>
      </c>
      <c r="Z164" s="4">
        <f>MIN(2.5,ABS((H94-(N161+P161*ABS(H94-N161)/ABS(IF(X164,N157+P161,P157-P161))*MIN(1,Y164)))/(MIN(1.52,Y164)/1.52*IF(X164,N155,P155)+(1.52-MIN(1.52,Y164))/3.04*N156+(1.52-MIN(1.52,Y164))/3.04*P156)))</f>
        <v>0.50000000000000011</v>
      </c>
      <c r="AA164" s="4">
        <f>1/(1+(0.2316419*Z164))</f>
        <v>0.89620113334491525</v>
      </c>
      <c r="AB164" s="4">
        <f>0.398942281*((2.71828)^((-(Z164^2)/2)))</f>
        <v>0.35206535689474694</v>
      </c>
      <c r="AC164" s="4">
        <f>AB164*(0.31938153*AA164-0.356563782*AA164^2+1.781477937*AA164^3-1.821255978*AA164^4+1.330274429*AA164^5)</f>
        <v>0.30853755861792775</v>
      </c>
      <c r="AD164" s="4">
        <f>MIN(2.5,ABS((H94-P160)/(MIN(1.52,Y164)/1.52*IF(X164,N155,P155)+(1.52-MIN(1.52,Y164))/3.04*N156+(1.52-MIN(1.52,Y164))/3.04*P156)))</f>
        <v>0.50000000000000011</v>
      </c>
      <c r="AE164" s="4">
        <f>1/(1+(0.2316419*AD164))</f>
        <v>0.89620113334491525</v>
      </c>
      <c r="AF164" s="4">
        <f>0.398942281*((2.71828)^((-(AD164^2)/2)))</f>
        <v>0.35206535689474694</v>
      </c>
      <c r="AG164" s="4">
        <f>AF164*(0.31938153*AE164-0.356563782*AE164^2+1.781477937*AE164^3-1.821255978*AE164^4+1.330274429*AE164^5)</f>
        <v>0.30853755861792775</v>
      </c>
    </row>
    <row r="165" spans="13:55" x14ac:dyDescent="0.25">
      <c r="N165" s="4" t="b">
        <f>+J94&gt;=N161</f>
        <v>0</v>
      </c>
      <c r="O165" s="4">
        <f>ABS((J94-P160)/IF(N165,N157,P157))</f>
        <v>1.4999999999999998</v>
      </c>
      <c r="P165" s="4">
        <f>MIN(2.5,ABS((J94-(N161+P161*ABS(J94-N161)/ABS(IF(N165,N157+P161,P157-P161))*MIN(1,O165)))/(MIN(1.52,O165)/1.52*IF(N165,N155,P155)+(1.52-MIN(1.52,O165))/3.04*N156+(1.52-MIN(1.52,O165))/3.04*P156)))</f>
        <v>1.5</v>
      </c>
      <c r="Q165" s="4">
        <f>1/(1+(0.2316419*P165))</f>
        <v>0.74213548818804176</v>
      </c>
      <c r="R165" s="4">
        <f>0.398942281*((2.71828)^((-(P165^2)/2)))</f>
        <v>0.12951769387066342</v>
      </c>
      <c r="S165" s="4">
        <f>R165*(0.31938153*Q165-0.356563782*Q165^2+1.781477937*Q165^3-1.821255978*Q165^4+1.330274429*Q165^5)</f>
        <v>6.6807279375848599E-2</v>
      </c>
      <c r="T165" s="4">
        <f>MIN(2.5,ABS((J94-P160)/(MIN(1.52,O165)/1.52*IF(N165,N155,P155)+(1.52-MIN(1.52,O165))/3.04*N156+(1.52-MIN(1.52,O165))/3.04*P156)))</f>
        <v>1.5</v>
      </c>
      <c r="U165" s="4">
        <f>1/(1+(0.2316419*T165))</f>
        <v>0.74213548818804176</v>
      </c>
      <c r="V165" s="4">
        <f>0.398942281*((2.71828)^((-(T165^2)/2)))</f>
        <v>0.12951769387066342</v>
      </c>
      <c r="W165" s="4">
        <f>V165*(0.31938153*U165-0.356563782*U165^2+1.781477937*U165^3-1.821255978*U165^4+1.330274429*U165^5)</f>
        <v>6.6807279375848599E-2</v>
      </c>
      <c r="X165" s="4" t="b">
        <f>0&gt;=N161</f>
        <v>0</v>
      </c>
      <c r="Y165" s="4">
        <f>ABS((0-P160)/IF(X165,N157,P157))</f>
        <v>1.4060052400155219</v>
      </c>
      <c r="Z165" s="4">
        <f>MIN(2.5,ABS((0-(N161+P161*ABS(0-N161)/ABS(IF(X165,N157+P161,P157-P161))*MIN(1,Y165)))/(MIN(1.52,Y165)/1.52*IF(X165,N155,P155)+(1.52-MIN(1.52,Y165))/3.04*N156+(1.52-MIN(1.52,Y165))/3.04*P156)))</f>
        <v>1.4060052400155221</v>
      </c>
      <c r="AA165" s="4">
        <f>1/(1+(0.2316419*Z165))</f>
        <v>0.75432431962444346</v>
      </c>
      <c r="AB165" s="4">
        <f>0.398942281*((2.71828)^((-(Z165^2)/2)))</f>
        <v>0.14847135509742718</v>
      </c>
      <c r="AC165" s="4">
        <f>AB165*(0.31938153*AA165-0.356563782*AA165^2+1.781477937*AA165^3-1.821255978*AA165^4+1.330274429*AA165^5)</f>
        <v>7.9861388338852743E-2</v>
      </c>
      <c r="AD165" s="4">
        <f>MIN(2.5,ABS((0-P160)/(MIN(1.52,Y165)/1.52*IF(X165,N155,P155)+(1.52-MIN(1.52,Y165))/3.04*N156+(1.52-MIN(1.52,Y165))/3.04*P156)))</f>
        <v>1.4060052400155221</v>
      </c>
      <c r="AE165" s="4">
        <f>1/(1+(0.2316419*AD165))</f>
        <v>0.75432431962444346</v>
      </c>
      <c r="AF165" s="4">
        <f>0.398942281*((2.71828)^((-(AD165^2)/2)))</f>
        <v>0.14847135509742718</v>
      </c>
      <c r="AG165" s="4">
        <f>AF165*(0.31938153*AE165-0.356563782*AE165^2+1.781477937*AE165^3-1.821255978*AE165^4+1.330274429*AE165^5)</f>
        <v>7.9861388338852743E-2</v>
      </c>
      <c r="AT165" s="4" t="b">
        <f>+I94&gt;=N161</f>
        <v>0</v>
      </c>
      <c r="AU165" s="4">
        <f>ABS((I94-P160)/IF(AT165,N157,P157))</f>
        <v>1</v>
      </c>
      <c r="AV165" s="4">
        <f>MIN(2.5,ABS((I94-(N161+P161*ABS(I94-N161)/ABS(IF(AT165,N157+P161,P157-P161))*MIN(1,AU165)))/(MIN(1.52,AU165)/1.52*IF(AT165,N155,P155)+(1.52-MIN(1.52,AU165))/3.04*N156+(1.52-MIN(1.52,AU165))/3.04*P156)))</f>
        <v>1</v>
      </c>
      <c r="AW165" s="4">
        <f>1/(1+(0.2316419*AV165))</f>
        <v>0.81192431014242039</v>
      </c>
      <c r="AX165" s="4">
        <f>0.398942281*((2.71828)^((-(AV165^2)/2)))</f>
        <v>0.24197080626333936</v>
      </c>
      <c r="AY165" s="4">
        <f>AX165*(0.31938153*AW165-0.356563782*AW165^2+1.781477937*AW165^3-1.821255978*AW165^4+1.330274429*AW165^5)</f>
        <v>0.15865531316113052</v>
      </c>
      <c r="AZ165" s="4">
        <f>MIN(2.5,ABS((I94-P160)/(MIN(1.52,AU165)/1.52*IF(AT165,N155,P155)+(1.52-MIN(1.52,AU165))/3.04*N156+(1.52-MIN(1.52,AU165))/3.04*P156)))</f>
        <v>1</v>
      </c>
      <c r="BA165" s="4">
        <f>1/(1+(0.2316419*AZ165))</f>
        <v>0.81192431014242039</v>
      </c>
      <c r="BB165" s="4">
        <f>0.398942281*((2.71828)^((-(AZ165^2)/2)))</f>
        <v>0.24197080626333936</v>
      </c>
      <c r="BC165" s="4">
        <f>BB165*(0.31938153*BA165-0.356563782*BA165^2+1.781477937*BA165^3-1.821255978*BA165^4+1.330274429*BA165^5)</f>
        <v>0.15865531316113052</v>
      </c>
    </row>
    <row r="169" spans="13:55" x14ac:dyDescent="0.25">
      <c r="N169" s="4" t="s">
        <v>156</v>
      </c>
      <c r="O169" s="4">
        <f>G13</f>
        <v>1</v>
      </c>
      <c r="P169" s="4">
        <f>N141</f>
        <v>1600</v>
      </c>
      <c r="Q169" s="4">
        <f>P141</f>
        <v>10</v>
      </c>
      <c r="R169" s="4">
        <f>I63</f>
        <v>13554.827987757812</v>
      </c>
      <c r="S169" s="4">
        <f>N157</f>
        <v>1739.0916780759612</v>
      </c>
      <c r="T169" s="4">
        <f>P157</f>
        <v>1739.0916780759612</v>
      </c>
      <c r="U169" s="4">
        <f>N155</f>
        <v>1739.0916780759612</v>
      </c>
      <c r="V169" s="4">
        <f>N156</f>
        <v>1739.0916780759612</v>
      </c>
      <c r="W169" s="4">
        <f>P155</f>
        <v>1739.0916780759612</v>
      </c>
      <c r="X169" s="4">
        <f>P156</f>
        <v>1739.0916780759612</v>
      </c>
    </row>
    <row r="200" spans="11:11" x14ac:dyDescent="0.25">
      <c r="K200" s="4" t="s">
        <v>3</v>
      </c>
    </row>
    <row r="203" spans="11:11" x14ac:dyDescent="0.25">
      <c r="K203" s="4" t="s">
        <v>3</v>
      </c>
    </row>
    <row r="204" spans="11:11" x14ac:dyDescent="0.25">
      <c r="K204" s="4" t="s">
        <v>3</v>
      </c>
    </row>
  </sheetData>
  <mergeCells count="6">
    <mergeCell ref="B86:J86"/>
    <mergeCell ref="A1:K1"/>
    <mergeCell ref="A2:K2"/>
    <mergeCell ref="A3:K3"/>
    <mergeCell ref="A4:K4"/>
    <mergeCell ref="B76:J76"/>
  </mergeCells>
  <printOptions horizontalCentered="1"/>
  <pageMargins left="0.19" right="0.25" top="0.52" bottom="0.52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I40"/>
  <sheetViews>
    <sheetView workbookViewId="0">
      <selection activeCell="D19" sqref="D19"/>
    </sheetView>
  </sheetViews>
  <sheetFormatPr defaultColWidth="9.109375" defaultRowHeight="13.2" x14ac:dyDescent="0.25"/>
  <cols>
    <col min="1" max="1" width="2.88671875" style="4" customWidth="1"/>
    <col min="2" max="2" width="7" style="4" customWidth="1"/>
    <col min="3" max="3" width="7.5546875" style="4" customWidth="1"/>
    <col min="4" max="4" width="13.6640625" style="4" customWidth="1"/>
    <col min="5" max="5" width="9.109375" style="4"/>
    <col min="6" max="6" width="10.5546875" style="4" customWidth="1"/>
    <col min="7" max="7" width="11.33203125" style="4" customWidth="1"/>
    <col min="8" max="8" width="13.6640625" style="4" customWidth="1"/>
    <col min="9" max="16384" width="9.109375" style="4"/>
  </cols>
  <sheetData>
    <row r="1" spans="1:9" x14ac:dyDescent="0.25">
      <c r="A1" s="47"/>
      <c r="B1" s="47"/>
      <c r="C1" s="47"/>
      <c r="D1" s="47"/>
      <c r="E1" s="47"/>
      <c r="H1" s="7"/>
    </row>
    <row r="2" spans="1:9" x14ac:dyDescent="0.25">
      <c r="C2" s="48" t="s">
        <v>157</v>
      </c>
    </row>
    <row r="3" spans="1:9" x14ac:dyDescent="0.25">
      <c r="B3" s="7" t="s">
        <v>242</v>
      </c>
      <c r="C3" s="49"/>
      <c r="D3" s="50"/>
      <c r="E3" s="49"/>
      <c r="F3" s="49"/>
      <c r="G3" s="49"/>
    </row>
    <row r="5" spans="1:9" x14ac:dyDescent="0.25">
      <c r="B5" s="19"/>
      <c r="C5" s="19" t="s">
        <v>158</v>
      </c>
      <c r="D5" s="19"/>
      <c r="E5" s="19"/>
      <c r="F5" s="19">
        <v>40</v>
      </c>
      <c r="G5" s="19"/>
      <c r="H5" s="19"/>
      <c r="I5" s="19"/>
    </row>
    <row r="6" spans="1:9" x14ac:dyDescent="0.25">
      <c r="B6" s="19"/>
      <c r="C6" s="19" t="s">
        <v>159</v>
      </c>
      <c r="D6" s="19"/>
      <c r="E6" s="19"/>
      <c r="F6" s="19">
        <v>6.5000000000000002E-2</v>
      </c>
      <c r="G6" s="19"/>
      <c r="H6" s="19"/>
      <c r="I6" s="19"/>
    </row>
    <row r="7" spans="1:9" x14ac:dyDescent="0.25">
      <c r="B7" s="19"/>
      <c r="C7" s="19" t="s">
        <v>160</v>
      </c>
      <c r="D7" s="19"/>
      <c r="E7" s="19"/>
      <c r="F7" s="19">
        <v>6</v>
      </c>
      <c r="G7" s="19"/>
      <c r="H7" s="19"/>
      <c r="I7" s="19"/>
    </row>
    <row r="8" spans="1:9" x14ac:dyDescent="0.25">
      <c r="B8" s="19"/>
      <c r="C8" s="19" t="s">
        <v>161</v>
      </c>
      <c r="D8" s="19"/>
      <c r="E8" s="19"/>
      <c r="F8" s="19">
        <v>0.02</v>
      </c>
      <c r="G8" s="19"/>
      <c r="H8" s="19"/>
      <c r="I8" s="19"/>
    </row>
    <row r="9" spans="1:9" x14ac:dyDescent="0.25">
      <c r="B9" s="19"/>
      <c r="C9" s="19"/>
      <c r="D9" s="19"/>
      <c r="E9" s="19"/>
      <c r="F9" s="19"/>
      <c r="G9" s="19"/>
      <c r="H9" s="19"/>
      <c r="I9" s="19"/>
    </row>
    <row r="10" spans="1:9" x14ac:dyDescent="0.25"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B11" s="19"/>
      <c r="C11" s="19"/>
      <c r="D11" s="51" t="s">
        <v>162</v>
      </c>
      <c r="E11" s="51" t="s">
        <v>163</v>
      </c>
      <c r="F11" s="52" t="s">
        <v>164</v>
      </c>
      <c r="G11" s="52" t="s">
        <v>165</v>
      </c>
      <c r="H11" s="53" t="s">
        <v>166</v>
      </c>
      <c r="I11" s="19"/>
    </row>
    <row r="12" spans="1:9" x14ac:dyDescent="0.25">
      <c r="B12" s="19" t="s">
        <v>167</v>
      </c>
      <c r="C12" s="19"/>
      <c r="D12" s="29">
        <v>8400</v>
      </c>
      <c r="E12" s="29">
        <v>20</v>
      </c>
      <c r="F12" s="29">
        <f>D12/E12</f>
        <v>420</v>
      </c>
      <c r="G12" s="29">
        <f>(D12/2)*F6</f>
        <v>273</v>
      </c>
      <c r="H12" s="29">
        <f t="shared" ref="H12:H18" si="0">(D12/2)*0.015</f>
        <v>63</v>
      </c>
      <c r="I12" s="19"/>
    </row>
    <row r="13" spans="1:9" x14ac:dyDescent="0.25">
      <c r="B13" s="19" t="s">
        <v>168</v>
      </c>
      <c r="C13" s="19"/>
      <c r="D13" s="29">
        <v>6090</v>
      </c>
      <c r="E13" s="29">
        <v>1</v>
      </c>
      <c r="F13" s="29">
        <f>IF(F9&gt;1,D13/E13,0)</f>
        <v>0</v>
      </c>
      <c r="G13" s="29">
        <f>(D13/2)*F6</f>
        <v>197.92500000000001</v>
      </c>
      <c r="H13" s="29">
        <f t="shared" si="0"/>
        <v>45.674999999999997</v>
      </c>
      <c r="I13" s="19"/>
    </row>
    <row r="14" spans="1:9" x14ac:dyDescent="0.25">
      <c r="B14" s="19" t="s">
        <v>169</v>
      </c>
      <c r="C14" s="19"/>
      <c r="D14" s="29">
        <v>6825</v>
      </c>
      <c r="E14" s="29">
        <v>25</v>
      </c>
      <c r="F14" s="29">
        <f>D14/E14</f>
        <v>273</v>
      </c>
      <c r="G14" s="29">
        <f>(D14/2)*F6</f>
        <v>221.8125</v>
      </c>
      <c r="H14" s="29">
        <f t="shared" si="0"/>
        <v>51.1875</v>
      </c>
      <c r="I14" s="19"/>
    </row>
    <row r="15" spans="1:9" x14ac:dyDescent="0.25">
      <c r="B15" s="19" t="s">
        <v>170</v>
      </c>
      <c r="C15" s="19"/>
      <c r="D15" s="29">
        <v>4200</v>
      </c>
      <c r="E15" s="29">
        <v>12</v>
      </c>
      <c r="F15" s="29">
        <f>D15/E15</f>
        <v>350</v>
      </c>
      <c r="G15" s="29">
        <f>(D15/2)*F6</f>
        <v>136.5</v>
      </c>
      <c r="H15" s="29">
        <f t="shared" si="0"/>
        <v>31.5</v>
      </c>
      <c r="I15" s="19"/>
    </row>
    <row r="16" spans="1:9" x14ac:dyDescent="0.25">
      <c r="B16" s="19" t="s">
        <v>171</v>
      </c>
      <c r="C16" s="19"/>
      <c r="D16" s="29">
        <v>262.5</v>
      </c>
      <c r="E16" s="29">
        <v>10</v>
      </c>
      <c r="F16" s="29">
        <f>D16/E16</f>
        <v>26.25</v>
      </c>
      <c r="G16" s="29">
        <f>(D16/2)*F6</f>
        <v>8.53125</v>
      </c>
      <c r="H16" s="29">
        <f t="shared" si="0"/>
        <v>1.96875</v>
      </c>
      <c r="I16" s="19"/>
    </row>
    <row r="17" spans="2:9" x14ac:dyDescent="0.25">
      <c r="B17" s="19" t="s">
        <v>172</v>
      </c>
      <c r="C17" s="19"/>
      <c r="D17" s="29">
        <v>1000</v>
      </c>
      <c r="E17" s="29">
        <v>20</v>
      </c>
      <c r="F17" s="29">
        <f>D17/E17</f>
        <v>50</v>
      </c>
      <c r="G17" s="29">
        <f>(D17/2)*F6</f>
        <v>32.5</v>
      </c>
      <c r="H17" s="29">
        <f t="shared" si="0"/>
        <v>7.5</v>
      </c>
      <c r="I17" s="19"/>
    </row>
    <row r="18" spans="2:9" x14ac:dyDescent="0.25">
      <c r="B18" s="19" t="s">
        <v>173</v>
      </c>
      <c r="C18" s="19"/>
      <c r="D18" s="89">
        <v>8925</v>
      </c>
      <c r="E18" s="29">
        <v>20</v>
      </c>
      <c r="F18" s="89">
        <f>D18/E18</f>
        <v>446.25</v>
      </c>
      <c r="G18" s="89">
        <f>(D18/2)*F6</f>
        <v>290.0625</v>
      </c>
      <c r="H18" s="89">
        <f t="shared" si="0"/>
        <v>66.9375</v>
      </c>
      <c r="I18" s="19"/>
    </row>
    <row r="19" spans="2:9" ht="13.8" thickBot="1" x14ac:dyDescent="0.3">
      <c r="B19" s="19" t="s">
        <v>80</v>
      </c>
      <c r="C19" s="19"/>
      <c r="D19" s="90">
        <f>SUM(D12:D18)</f>
        <v>35702.5</v>
      </c>
      <c r="E19" s="91"/>
      <c r="F19" s="90">
        <f>SUM(F12:F18)</f>
        <v>1565.5</v>
      </c>
      <c r="G19" s="90">
        <f>SUM(G12:G18)</f>
        <v>1160.33125</v>
      </c>
      <c r="H19" s="90">
        <f>SUM(H12:H18)</f>
        <v>267.76875000000001</v>
      </c>
      <c r="I19" s="19"/>
    </row>
    <row r="20" spans="2:9" ht="13.8" thickTop="1" x14ac:dyDescent="0.25">
      <c r="B20" s="19"/>
      <c r="C20" s="19"/>
      <c r="D20" s="19"/>
      <c r="E20" s="19"/>
      <c r="F20" s="19"/>
      <c r="G20" s="19"/>
      <c r="H20" s="19"/>
      <c r="I20" s="19"/>
    </row>
    <row r="21" spans="2:9" x14ac:dyDescent="0.25">
      <c r="B21" s="19"/>
      <c r="C21" s="19"/>
      <c r="D21" s="19" t="s">
        <v>174</v>
      </c>
      <c r="E21" s="19"/>
      <c r="F21" s="19"/>
      <c r="G21" s="19"/>
      <c r="H21" s="29">
        <f>F19+G19+H19</f>
        <v>2993.6000000000004</v>
      </c>
      <c r="I21" s="19"/>
    </row>
    <row r="22" spans="2:9" x14ac:dyDescent="0.25">
      <c r="B22" s="19"/>
      <c r="C22" s="19"/>
      <c r="D22" s="19"/>
      <c r="E22" s="19"/>
      <c r="F22" s="19"/>
      <c r="G22" s="19"/>
      <c r="H22" s="19"/>
      <c r="I22" s="19"/>
    </row>
    <row r="23" spans="2:9" x14ac:dyDescent="0.25">
      <c r="B23" s="19"/>
      <c r="C23" s="19"/>
      <c r="D23" s="19" t="s">
        <v>175</v>
      </c>
      <c r="E23" s="19"/>
      <c r="F23" s="19"/>
      <c r="G23" s="19"/>
      <c r="H23" s="92">
        <f>H21/F5</f>
        <v>74.84</v>
      </c>
      <c r="I23" s="19"/>
    </row>
    <row r="24" spans="2:9" ht="13.8" thickBot="1" x14ac:dyDescent="0.3">
      <c r="B24" s="19"/>
      <c r="C24" s="19"/>
      <c r="D24" s="19" t="s">
        <v>176</v>
      </c>
      <c r="E24" s="19"/>
      <c r="F24" s="19"/>
      <c r="G24" s="19"/>
      <c r="H24" s="63">
        <f>PMT(Fixed_Payment!G16,Fixed_Payment!F16,-D19/2)/F5</f>
        <v>94.707695719276416</v>
      </c>
      <c r="I24" s="19"/>
    </row>
    <row r="25" spans="2:9" ht="14.4" thickTop="1" thickBot="1" x14ac:dyDescent="0.3">
      <c r="B25" s="64"/>
      <c r="C25" s="64"/>
      <c r="D25" s="64"/>
      <c r="E25" s="64"/>
      <c r="F25" s="64"/>
      <c r="G25" s="64"/>
      <c r="H25" s="64"/>
      <c r="I25" s="19"/>
    </row>
    <row r="26" spans="2:9" ht="13.8" thickTop="1" x14ac:dyDescent="0.25">
      <c r="B26" s="8" t="s">
        <v>177</v>
      </c>
      <c r="C26" s="8"/>
      <c r="D26" s="8"/>
      <c r="E26" s="8"/>
      <c r="F26" s="8"/>
      <c r="G26" s="8"/>
      <c r="H26" s="8"/>
      <c r="I26" s="19"/>
    </row>
    <row r="27" spans="2:9" x14ac:dyDescent="0.25">
      <c r="B27" s="19"/>
      <c r="C27" s="19"/>
      <c r="D27" s="19"/>
      <c r="E27" s="19"/>
      <c r="F27" s="19"/>
      <c r="G27" s="19"/>
      <c r="H27" s="19"/>
      <c r="I27" s="19"/>
    </row>
    <row r="28" spans="2:9" x14ac:dyDescent="0.25">
      <c r="B28" s="19" t="s">
        <v>178</v>
      </c>
      <c r="C28" s="19"/>
      <c r="D28" s="19"/>
      <c r="E28" s="19"/>
      <c r="F28" s="19">
        <v>15</v>
      </c>
      <c r="G28" s="19"/>
      <c r="H28" s="19"/>
      <c r="I28" s="19"/>
    </row>
    <row r="29" spans="2:9" x14ac:dyDescent="0.25">
      <c r="B29" s="19" t="s">
        <v>179</v>
      </c>
      <c r="C29" s="19"/>
      <c r="D29" s="19"/>
      <c r="E29" s="19"/>
      <c r="F29" s="19">
        <f>(D19-D17-D18)*0.005+25+(D13*0.12)</f>
        <v>884.6875</v>
      </c>
      <c r="G29" s="19"/>
      <c r="H29" s="19">
        <f>F29/F5</f>
        <v>22.1171875</v>
      </c>
      <c r="I29" s="19"/>
    </row>
    <row r="30" spans="2:9" x14ac:dyDescent="0.25">
      <c r="B30" s="19" t="s">
        <v>180</v>
      </c>
      <c r="C30" s="19"/>
      <c r="D30" s="19"/>
      <c r="E30" s="19"/>
      <c r="F30" s="19">
        <v>2250</v>
      </c>
      <c r="G30" s="19"/>
      <c r="H30" s="19"/>
      <c r="I30" s="19"/>
    </row>
    <row r="31" spans="2:9" x14ac:dyDescent="0.25">
      <c r="B31" s="19" t="s">
        <v>181</v>
      </c>
      <c r="C31" s="19"/>
      <c r="D31" s="19"/>
      <c r="E31" s="19"/>
      <c r="F31" s="19"/>
      <c r="G31" s="19"/>
      <c r="H31" s="19"/>
      <c r="I31" s="19"/>
    </row>
    <row r="32" spans="2:9" x14ac:dyDescent="0.25">
      <c r="B32" s="19" t="s">
        <v>182</v>
      </c>
      <c r="C32" s="19"/>
      <c r="D32" s="19"/>
      <c r="E32" s="19"/>
      <c r="F32" s="19">
        <f>F28*12</f>
        <v>180</v>
      </c>
      <c r="G32" s="19"/>
      <c r="H32" s="19"/>
      <c r="I32" s="19"/>
    </row>
    <row r="33" spans="2:9" x14ac:dyDescent="0.25">
      <c r="B33" s="19" t="s">
        <v>183</v>
      </c>
      <c r="C33" s="19"/>
      <c r="D33" s="19"/>
      <c r="E33" s="19"/>
      <c r="F33" s="19">
        <v>0.08</v>
      </c>
      <c r="G33" s="19"/>
      <c r="H33" s="19"/>
      <c r="I33" s="19"/>
    </row>
    <row r="34" spans="2:9" x14ac:dyDescent="0.25">
      <c r="B34" s="19" t="s">
        <v>184</v>
      </c>
      <c r="C34" s="19"/>
      <c r="D34" s="19"/>
      <c r="E34" s="19"/>
      <c r="F34" s="19">
        <f>(F28*0.746*F33*F30)+F32</f>
        <v>2194.1999999999998</v>
      </c>
      <c r="G34" s="19"/>
      <c r="H34" s="19"/>
      <c r="I34" s="19"/>
    </row>
    <row r="35" spans="2:9" x14ac:dyDescent="0.25">
      <c r="B35" s="19" t="s">
        <v>185</v>
      </c>
      <c r="C35" s="19"/>
      <c r="D35" s="19"/>
      <c r="E35" s="19"/>
      <c r="F35" s="19"/>
      <c r="G35" s="19"/>
      <c r="H35" s="19">
        <f>F34/F5</f>
        <v>54.854999999999997</v>
      </c>
      <c r="I35" s="19"/>
    </row>
    <row r="36" spans="2:9" x14ac:dyDescent="0.25">
      <c r="B36" s="19"/>
      <c r="C36" s="19"/>
      <c r="D36" s="19"/>
      <c r="E36" s="19"/>
      <c r="F36" s="19"/>
      <c r="G36" s="19"/>
      <c r="H36" s="19"/>
      <c r="I36" s="19"/>
    </row>
    <row r="37" spans="2:9" x14ac:dyDescent="0.25">
      <c r="B37" s="19"/>
      <c r="C37" s="19"/>
      <c r="D37" s="19"/>
      <c r="E37" s="19"/>
      <c r="F37" s="19"/>
      <c r="G37" s="19"/>
      <c r="H37" s="19"/>
      <c r="I37" s="19"/>
    </row>
    <row r="38" spans="2:9" x14ac:dyDescent="0.25">
      <c r="B38" s="19"/>
      <c r="C38" s="19"/>
      <c r="D38" s="19"/>
      <c r="E38" s="19"/>
      <c r="F38" s="19"/>
      <c r="G38" s="19"/>
      <c r="H38" s="19"/>
      <c r="I38" s="19"/>
    </row>
    <row r="39" spans="2:9" ht="13.8" thickBot="1" x14ac:dyDescent="0.3">
      <c r="B39" s="19"/>
      <c r="C39" s="19"/>
      <c r="D39" s="19" t="s">
        <v>186</v>
      </c>
      <c r="E39" s="19"/>
      <c r="F39" s="19"/>
      <c r="G39" s="19"/>
      <c r="H39" s="91">
        <f>SUM(H27:H38)</f>
        <v>76.97218749999999</v>
      </c>
      <c r="I39" s="19"/>
    </row>
    <row r="40" spans="2:9" ht="13.8" thickTop="1" x14ac:dyDescent="0.25">
      <c r="B40" s="19"/>
      <c r="C40" s="19"/>
      <c r="D40" s="19"/>
      <c r="E40" s="19"/>
      <c r="F40" s="19"/>
      <c r="G40" s="19"/>
      <c r="H40" s="19"/>
      <c r="I40" s="19"/>
    </row>
  </sheetData>
  <printOptions horizontalCentered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4"/>
    <pageSetUpPr fitToPage="1"/>
  </sheetPr>
  <dimension ref="A1:AJ240"/>
  <sheetViews>
    <sheetView showRowColHeaders="0" workbookViewId="0">
      <selection activeCell="P25" sqref="P25"/>
    </sheetView>
  </sheetViews>
  <sheetFormatPr defaultColWidth="9.109375" defaultRowHeight="13.2" x14ac:dyDescent="0.25"/>
  <cols>
    <col min="1" max="1" width="3.33203125" style="1" customWidth="1"/>
    <col min="2" max="3" width="9.109375" style="1"/>
    <col min="4" max="4" width="13.33203125" style="1" customWidth="1"/>
    <col min="5" max="16384" width="9.109375" style="1"/>
  </cols>
  <sheetData>
    <row r="1" spans="1:36" ht="15" x14ac:dyDescent="0.25">
      <c r="A1" s="4"/>
      <c r="B1" s="4"/>
      <c r="C1" s="55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4"/>
      <c r="B2" s="4"/>
      <c r="C2" s="48" t="s">
        <v>157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4"/>
      <c r="B3" s="8" t="s">
        <v>187</v>
      </c>
      <c r="C3" s="8"/>
      <c r="D3" s="8"/>
      <c r="E3" s="8"/>
      <c r="F3" s="8"/>
      <c r="G3" s="8"/>
      <c r="H3" s="8"/>
      <c r="I3" s="19"/>
      <c r="J3" s="19"/>
      <c r="K3" s="19"/>
      <c r="L3" s="1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5">
      <c r="A5" s="4"/>
      <c r="B5" s="19" t="s">
        <v>188</v>
      </c>
      <c r="C5" s="19"/>
      <c r="D5" s="19"/>
      <c r="E5" s="29">
        <v>40</v>
      </c>
      <c r="F5" s="19"/>
      <c r="G5" s="19"/>
      <c r="H5" s="19"/>
      <c r="I5" s="19"/>
      <c r="J5" s="19"/>
      <c r="K5" s="19"/>
      <c r="L5" s="1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5">
      <c r="A6" s="4"/>
      <c r="B6" s="19" t="s">
        <v>189</v>
      </c>
      <c r="C6" s="19"/>
      <c r="D6" s="19"/>
      <c r="E6" s="19">
        <v>6.5000000000000002E-2</v>
      </c>
      <c r="F6" s="19"/>
      <c r="G6" s="19"/>
      <c r="H6" s="19"/>
      <c r="I6" s="19"/>
      <c r="J6" s="19"/>
      <c r="K6" s="19"/>
      <c r="L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4"/>
      <c r="B8" s="19" t="s">
        <v>245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5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5">
      <c r="A10" s="4"/>
      <c r="B10" s="8"/>
      <c r="C10" s="8"/>
      <c r="D10" s="8" t="s">
        <v>190</v>
      </c>
      <c r="E10" s="8"/>
      <c r="F10" s="8" t="s">
        <v>191</v>
      </c>
      <c r="G10" s="8" t="s">
        <v>192</v>
      </c>
      <c r="H10" s="8"/>
      <c r="I10" s="8"/>
      <c r="J10" s="8"/>
      <c r="K10" s="8"/>
      <c r="L10" s="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4"/>
      <c r="B11" s="8" t="s">
        <v>15</v>
      </c>
      <c r="C11" s="8"/>
      <c r="D11" s="8" t="s">
        <v>193</v>
      </c>
      <c r="E11" s="8" t="s">
        <v>194</v>
      </c>
      <c r="F11" s="8" t="s">
        <v>195</v>
      </c>
      <c r="G11" s="8" t="s">
        <v>196</v>
      </c>
      <c r="H11" s="8" t="s">
        <v>197</v>
      </c>
      <c r="I11" s="17" t="s">
        <v>198</v>
      </c>
      <c r="J11" s="8" t="s">
        <v>199</v>
      </c>
      <c r="K11" s="8" t="s">
        <v>200</v>
      </c>
      <c r="L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5">
      <c r="A12" s="4"/>
      <c r="B12" s="19" t="s">
        <v>201</v>
      </c>
      <c r="C12" s="19"/>
      <c r="D12" s="60">
        <v>0.33</v>
      </c>
      <c r="E12" s="29">
        <v>73500</v>
      </c>
      <c r="F12" s="29">
        <f t="shared" ref="F12:F21" si="0">0.2*E12</f>
        <v>14700</v>
      </c>
      <c r="G12" s="29">
        <v>15</v>
      </c>
      <c r="H12" s="29">
        <f t="shared" ref="H12:H21" si="1">(E12-F12)/G12*D12</f>
        <v>1293.6000000000001</v>
      </c>
      <c r="I12" s="29">
        <f>(E12+F12)/2*E6*D12</f>
        <v>945.94500000000005</v>
      </c>
      <c r="J12" s="29">
        <f t="shared" ref="J12:J21" si="2">(E12+F12)/2*0.014*D12</f>
        <v>203.74199999999999</v>
      </c>
      <c r="K12" s="29">
        <f>(H12+I12+J12)/E5</f>
        <v>61.082175000000007</v>
      </c>
      <c r="L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5">
      <c r="A13" s="4"/>
      <c r="B13" s="19" t="s">
        <v>202</v>
      </c>
      <c r="C13" s="19"/>
      <c r="D13" s="60">
        <v>0.33</v>
      </c>
      <c r="E13" s="29">
        <v>23100</v>
      </c>
      <c r="F13" s="29">
        <f t="shared" si="0"/>
        <v>4620</v>
      </c>
      <c r="G13" s="29">
        <v>15</v>
      </c>
      <c r="H13" s="29">
        <f t="shared" si="1"/>
        <v>406.56</v>
      </c>
      <c r="I13" s="29">
        <f>(E13+F13)/2*E6*D13</f>
        <v>297.29700000000003</v>
      </c>
      <c r="J13" s="29">
        <f t="shared" si="2"/>
        <v>64.033199999999994</v>
      </c>
      <c r="K13" s="29">
        <f>(H13+I13+J13)/E5</f>
        <v>19.197254999999998</v>
      </c>
      <c r="L13" s="1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5">
      <c r="A14" s="4"/>
      <c r="B14" s="19" t="s">
        <v>203</v>
      </c>
      <c r="C14" s="19"/>
      <c r="D14" s="60">
        <v>0.33</v>
      </c>
      <c r="E14" s="29">
        <v>23100</v>
      </c>
      <c r="F14" s="29">
        <f t="shared" si="0"/>
        <v>4620</v>
      </c>
      <c r="G14" s="29">
        <v>15</v>
      </c>
      <c r="H14" s="29">
        <f t="shared" si="1"/>
        <v>406.56</v>
      </c>
      <c r="I14" s="29">
        <f>(E14+F14)/2*E6*D14</f>
        <v>297.29700000000003</v>
      </c>
      <c r="J14" s="29">
        <f t="shared" si="2"/>
        <v>64.033199999999994</v>
      </c>
      <c r="K14" s="29">
        <f>(H14+I14+J14)/E5</f>
        <v>19.197254999999998</v>
      </c>
      <c r="L14" s="1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4"/>
      <c r="B15" s="19" t="s">
        <v>204</v>
      </c>
      <c r="C15" s="19"/>
      <c r="D15" s="60">
        <v>0.33</v>
      </c>
      <c r="E15" s="29">
        <v>5250</v>
      </c>
      <c r="F15" s="29">
        <f t="shared" si="0"/>
        <v>1050</v>
      </c>
      <c r="G15" s="29">
        <v>15</v>
      </c>
      <c r="H15" s="29">
        <f t="shared" si="1"/>
        <v>92.4</v>
      </c>
      <c r="I15" s="29">
        <f>(E15+F15)/2*E6*D15</f>
        <v>67.56750000000001</v>
      </c>
      <c r="J15" s="29">
        <f t="shared" si="2"/>
        <v>14.553000000000001</v>
      </c>
      <c r="K15" s="29">
        <f>(H15+I15+J15)/E5</f>
        <v>4.3630125000000008</v>
      </c>
      <c r="L15" s="1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4"/>
      <c r="B16" s="19" t="s">
        <v>205</v>
      </c>
      <c r="C16" s="19"/>
      <c r="D16" s="60">
        <v>0.33</v>
      </c>
      <c r="E16" s="29">
        <v>12600</v>
      </c>
      <c r="F16" s="29">
        <f t="shared" si="0"/>
        <v>2520</v>
      </c>
      <c r="G16" s="29">
        <v>15</v>
      </c>
      <c r="H16" s="29">
        <f t="shared" si="1"/>
        <v>221.76000000000002</v>
      </c>
      <c r="I16" s="29">
        <f>(E16+F16)/2*E6*D16</f>
        <v>162.16200000000001</v>
      </c>
      <c r="J16" s="29">
        <f t="shared" si="2"/>
        <v>34.927200000000006</v>
      </c>
      <c r="K16" s="29">
        <f>(H16+I16+J16)/E5</f>
        <v>10.471230000000002</v>
      </c>
      <c r="L16" s="1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4"/>
      <c r="B17" s="19" t="s">
        <v>206</v>
      </c>
      <c r="C17" s="19"/>
      <c r="D17" s="60">
        <v>0.33</v>
      </c>
      <c r="E17" s="29">
        <v>6300</v>
      </c>
      <c r="F17" s="29">
        <f t="shared" si="0"/>
        <v>1260</v>
      </c>
      <c r="G17" s="29">
        <v>15</v>
      </c>
      <c r="H17" s="29">
        <f t="shared" si="1"/>
        <v>110.88000000000001</v>
      </c>
      <c r="I17" s="29">
        <f>(E17+F17)/2*E6*D17</f>
        <v>81.081000000000003</v>
      </c>
      <c r="J17" s="29">
        <f t="shared" si="2"/>
        <v>17.463600000000003</v>
      </c>
      <c r="K17" s="29">
        <f>(H17+I17+J17)/E5</f>
        <v>5.235615000000001</v>
      </c>
      <c r="L17" s="1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5">
      <c r="A18" s="4"/>
      <c r="B18" s="19" t="s">
        <v>207</v>
      </c>
      <c r="C18" s="19"/>
      <c r="D18" s="60">
        <v>0.33</v>
      </c>
      <c r="E18" s="29">
        <v>15750</v>
      </c>
      <c r="F18" s="29">
        <f t="shared" si="0"/>
        <v>3150</v>
      </c>
      <c r="G18" s="29">
        <v>15</v>
      </c>
      <c r="H18" s="29">
        <f t="shared" si="1"/>
        <v>277.2</v>
      </c>
      <c r="I18" s="29">
        <f>(E18+F18)/2*E6*D18</f>
        <v>202.70250000000001</v>
      </c>
      <c r="J18" s="29">
        <f t="shared" si="2"/>
        <v>43.659000000000006</v>
      </c>
      <c r="K18" s="29">
        <f>(H18+I18+J18)/E5</f>
        <v>13.0890375</v>
      </c>
      <c r="L18" s="1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5">
      <c r="A19" s="4"/>
      <c r="B19" s="19" t="s">
        <v>208</v>
      </c>
      <c r="C19" s="19"/>
      <c r="D19" s="60">
        <v>0.33</v>
      </c>
      <c r="E19" s="29">
        <v>42000</v>
      </c>
      <c r="F19" s="29">
        <f t="shared" si="0"/>
        <v>8400</v>
      </c>
      <c r="G19" s="29">
        <v>15</v>
      </c>
      <c r="H19" s="29">
        <f t="shared" si="1"/>
        <v>739.2</v>
      </c>
      <c r="I19" s="29">
        <f>(E19+F19)/2*E6*D19</f>
        <v>540.54000000000008</v>
      </c>
      <c r="J19" s="29">
        <f t="shared" si="2"/>
        <v>116.42400000000001</v>
      </c>
      <c r="K19" s="29">
        <f>(H19+I19+J19)/E5</f>
        <v>34.904100000000007</v>
      </c>
      <c r="L19" s="1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5">
      <c r="A20" s="4"/>
      <c r="B20" s="19"/>
      <c r="C20" s="19"/>
      <c r="D20" s="60">
        <v>0.33</v>
      </c>
      <c r="E20" s="29">
        <v>0</v>
      </c>
      <c r="F20" s="29">
        <f t="shared" si="0"/>
        <v>0</v>
      </c>
      <c r="G20" s="29">
        <v>15</v>
      </c>
      <c r="H20" s="29">
        <f t="shared" si="1"/>
        <v>0</v>
      </c>
      <c r="I20" s="29">
        <f>(E20+F20)/2*E6*D20</f>
        <v>0</v>
      </c>
      <c r="J20" s="29">
        <f t="shared" si="2"/>
        <v>0</v>
      </c>
      <c r="K20" s="29">
        <f>(H20+I20+J20)/E5</f>
        <v>0</v>
      </c>
      <c r="L20" s="1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5">
      <c r="A21" s="4"/>
      <c r="B21" s="19" t="s">
        <v>209</v>
      </c>
      <c r="C21" s="19"/>
      <c r="D21" s="60">
        <v>0.33</v>
      </c>
      <c r="E21" s="29">
        <v>0</v>
      </c>
      <c r="F21" s="29">
        <f t="shared" si="0"/>
        <v>0</v>
      </c>
      <c r="G21" s="29">
        <v>0.01</v>
      </c>
      <c r="H21" s="29">
        <f t="shared" si="1"/>
        <v>0</v>
      </c>
      <c r="I21" s="29">
        <f>(E21+F21)/2*E7*D21</f>
        <v>0</v>
      </c>
      <c r="J21" s="29">
        <f t="shared" si="2"/>
        <v>0</v>
      </c>
      <c r="K21" s="29">
        <f>(H21+I21+J21)/E6</f>
        <v>0</v>
      </c>
      <c r="L21" s="1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8" thickBot="1" x14ac:dyDescent="0.3">
      <c r="A23" s="4"/>
      <c r="B23" s="21" t="s">
        <v>20</v>
      </c>
      <c r="C23" s="19"/>
      <c r="D23" s="19"/>
      <c r="E23" s="90">
        <f>SUM(E12*D12,E14*D14,E13*D13,E15*D15,E16*D16,E17*D17,E18*D18,E19*D19,E20*D20,E21*D21,E22*D12)</f>
        <v>66528</v>
      </c>
      <c r="F23" s="90">
        <f>SUM(F12*D12,F14*D14,F13*D13,F15*D15,F16*D16,F17*D17,F18*D18,F19*D19,F20*D20,F21*D21,F22*D12)</f>
        <v>13305.6</v>
      </c>
      <c r="G23" s="91"/>
      <c r="H23" s="90">
        <f>SUM(H12:H22)</f>
        <v>3548.1600000000008</v>
      </c>
      <c r="I23" s="90">
        <f>SUM(I12:I22)</f>
        <v>2594.5920000000001</v>
      </c>
      <c r="J23" s="90">
        <f>SUM(J12:J22)</f>
        <v>558.83519999999999</v>
      </c>
      <c r="K23" s="90">
        <f>SUM(K12:K22)</f>
        <v>167.53968</v>
      </c>
      <c r="L23" s="1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8" thickTop="1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5">
      <c r="A25" s="4"/>
      <c r="B25" s="19"/>
      <c r="C25" s="19"/>
      <c r="D25" s="19" t="s">
        <v>210</v>
      </c>
      <c r="E25" s="19"/>
      <c r="F25" s="19"/>
      <c r="G25" s="19"/>
      <c r="H25" s="19">
        <f>(E23+F23)/2*E6</f>
        <v>2594.5920000000001</v>
      </c>
      <c r="I25" s="19"/>
      <c r="J25" s="19"/>
      <c r="K25" s="19"/>
      <c r="L25" s="1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5">
      <c r="A26" s="4"/>
      <c r="B26" s="19"/>
      <c r="C26" s="19"/>
      <c r="D26" s="19" t="s">
        <v>211</v>
      </c>
      <c r="E26" s="19"/>
      <c r="F26" s="19"/>
      <c r="G26" s="19"/>
      <c r="H26" s="19">
        <f>(E23+F23)/2*0.014</f>
        <v>558.8352000000001</v>
      </c>
      <c r="I26" s="19"/>
      <c r="J26" s="19"/>
      <c r="K26" s="19"/>
      <c r="L26" s="1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5">
      <c r="A28" s="4"/>
      <c r="B28" s="19"/>
      <c r="C28" s="19"/>
      <c r="D28" s="19" t="s">
        <v>212</v>
      </c>
      <c r="E28" s="19"/>
      <c r="F28" s="19"/>
      <c r="G28" s="19"/>
      <c r="H28" s="92">
        <f>SUM(H23:H26)</f>
        <v>6701.5872000000008</v>
      </c>
      <c r="I28" s="19"/>
      <c r="J28" s="19"/>
      <c r="K28" s="19"/>
      <c r="L28" s="1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3.8" thickBot="1" x14ac:dyDescent="0.3">
      <c r="A29" s="4"/>
      <c r="B29" s="19"/>
      <c r="C29" s="19"/>
      <c r="D29" s="19" t="s">
        <v>213</v>
      </c>
      <c r="E29" s="19"/>
      <c r="F29" s="19"/>
      <c r="G29" s="19"/>
      <c r="H29" s="91">
        <f>H28/E5</f>
        <v>167.53968000000003</v>
      </c>
      <c r="I29" s="19"/>
      <c r="J29" s="19"/>
      <c r="K29" s="19"/>
      <c r="L29" s="1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3.8" thickTop="1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</sheetData>
  <printOptions horizontalCentered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5"/>
    <pageSetUpPr fitToPage="1"/>
  </sheetPr>
  <dimension ref="A1:U118"/>
  <sheetViews>
    <sheetView showRowColHeaders="0" workbookViewId="0">
      <selection activeCell="K16" sqref="K16"/>
    </sheetView>
  </sheetViews>
  <sheetFormatPr defaultColWidth="9.109375" defaultRowHeight="13.2" x14ac:dyDescent="0.25"/>
  <cols>
    <col min="1" max="1" width="3.33203125" style="1" customWidth="1"/>
    <col min="2" max="2" width="8.6640625" style="1" customWidth="1"/>
    <col min="3" max="3" width="13" style="1" customWidth="1"/>
    <col min="4" max="4" width="13.33203125" style="1" customWidth="1"/>
    <col min="5" max="5" width="9.6640625" style="1" customWidth="1"/>
    <col min="6" max="7" width="9.109375" style="1"/>
    <col min="8" max="8" width="9.33203125" style="1" customWidth="1"/>
    <col min="9" max="16384" width="9.109375" style="1"/>
  </cols>
  <sheetData>
    <row r="1" spans="1:21" ht="15" x14ac:dyDescent="0.25">
      <c r="A1" s="4"/>
      <c r="B1" s="4"/>
      <c r="C1" s="4"/>
      <c r="D1" s="5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"/>
      <c r="B3" s="7" t="s">
        <v>243</v>
      </c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/>
      <c r="B4" s="56" t="s">
        <v>214</v>
      </c>
      <c r="C4" s="56"/>
      <c r="D4" s="56"/>
      <c r="E4" s="56"/>
      <c r="F4" s="56"/>
      <c r="G4" s="56"/>
      <c r="H4" s="5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/>
      <c r="B6" s="34"/>
      <c r="C6" s="34" t="s">
        <v>190</v>
      </c>
      <c r="D6" s="34"/>
      <c r="E6" s="51" t="s">
        <v>215</v>
      </c>
      <c r="F6" s="57"/>
      <c r="G6" s="58"/>
      <c r="H6" s="35" t="s">
        <v>216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36" t="s">
        <v>217</v>
      </c>
      <c r="C7" s="36" t="s">
        <v>193</v>
      </c>
      <c r="D7" s="36" t="s">
        <v>194</v>
      </c>
      <c r="E7" s="36" t="s">
        <v>218</v>
      </c>
      <c r="F7" s="36" t="s">
        <v>219</v>
      </c>
      <c r="G7" s="36" t="s">
        <v>220</v>
      </c>
      <c r="H7" s="59" t="s">
        <v>221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19" t="s">
        <v>222</v>
      </c>
      <c r="C8" s="60">
        <f>Fixed_Cost!D12</f>
        <v>0.33</v>
      </c>
      <c r="D8" s="29">
        <f>Fixed_Cost!E12</f>
        <v>73500</v>
      </c>
      <c r="E8" s="60">
        <v>0.5</v>
      </c>
      <c r="F8" s="29">
        <v>7</v>
      </c>
      <c r="G8" s="60">
        <v>0.11</v>
      </c>
      <c r="H8" s="20">
        <f t="shared" ref="H8:H17" si="0">PMT(G8,F8,-D8*E8*C8)</f>
        <v>2573.6406802560596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/>
      <c r="B9" s="19" t="s">
        <v>223</v>
      </c>
      <c r="C9" s="60">
        <f>Fixed_Cost!D14</f>
        <v>0.33</v>
      </c>
      <c r="D9" s="29">
        <f>Fixed_Cost!E13</f>
        <v>23100</v>
      </c>
      <c r="E9" s="60">
        <v>0.5</v>
      </c>
      <c r="F9" s="29">
        <v>7</v>
      </c>
      <c r="G9" s="60">
        <v>0.11</v>
      </c>
      <c r="H9" s="20">
        <f t="shared" si="0"/>
        <v>808.85849950904742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4"/>
      <c r="B10" s="19" t="s">
        <v>224</v>
      </c>
      <c r="C10" s="60">
        <f>Fixed_Cost!D13</f>
        <v>0.33</v>
      </c>
      <c r="D10" s="29">
        <f>Fixed_Cost!E13</f>
        <v>23100</v>
      </c>
      <c r="E10" s="60">
        <v>0.5</v>
      </c>
      <c r="F10" s="29">
        <v>7</v>
      </c>
      <c r="G10" s="60">
        <v>0.11</v>
      </c>
      <c r="H10" s="20">
        <f t="shared" si="0"/>
        <v>808.85849950904742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4"/>
      <c r="B11" s="19" t="s">
        <v>225</v>
      </c>
      <c r="C11" s="60">
        <f>Fixed_Cost!D15</f>
        <v>0.33</v>
      </c>
      <c r="D11" s="29">
        <f>Fixed_Cost!E15</f>
        <v>5250</v>
      </c>
      <c r="E11" s="60">
        <v>0.5</v>
      </c>
      <c r="F11" s="29">
        <v>7</v>
      </c>
      <c r="G11" s="60">
        <v>0.11</v>
      </c>
      <c r="H11" s="20">
        <f t="shared" si="0"/>
        <v>183.83147716114712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/>
      <c r="B12" s="19" t="s">
        <v>226</v>
      </c>
      <c r="C12" s="60">
        <f>Fixed_Cost!D16</f>
        <v>0.33</v>
      </c>
      <c r="D12" s="29">
        <f>Fixed_Cost!E16</f>
        <v>12600</v>
      </c>
      <c r="E12" s="60">
        <v>0.5</v>
      </c>
      <c r="F12" s="29">
        <v>7</v>
      </c>
      <c r="G12" s="60">
        <v>0.11</v>
      </c>
      <c r="H12" s="20">
        <f t="shared" si="0"/>
        <v>441.19554518675312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/>
      <c r="B13" s="19" t="s">
        <v>227</v>
      </c>
      <c r="C13" s="60">
        <f>Fixed_Cost!D17</f>
        <v>0.33</v>
      </c>
      <c r="D13" s="29">
        <f>Fixed_Cost!E17</f>
        <v>6300</v>
      </c>
      <c r="E13" s="60">
        <v>0.5</v>
      </c>
      <c r="F13" s="29">
        <v>7</v>
      </c>
      <c r="G13" s="60">
        <v>0.11</v>
      </c>
      <c r="H13" s="20">
        <f t="shared" si="0"/>
        <v>220.59777259337656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/>
      <c r="B14" s="19" t="s">
        <v>228</v>
      </c>
      <c r="C14" s="60">
        <f>Fixed_Cost!D18</f>
        <v>0.33</v>
      </c>
      <c r="D14" s="29">
        <f>Fixed_Cost!E18</f>
        <v>15750</v>
      </c>
      <c r="E14" s="60">
        <v>0.5</v>
      </c>
      <c r="F14" s="29">
        <v>7</v>
      </c>
      <c r="G14" s="60">
        <v>0.11</v>
      </c>
      <c r="H14" s="20">
        <f t="shared" si="0"/>
        <v>551.49443148344142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19" t="s">
        <v>209</v>
      </c>
      <c r="C15" s="60">
        <f>Fixed_Cost!D19</f>
        <v>0.33</v>
      </c>
      <c r="D15" s="29">
        <f>Fixed_Cost!E19</f>
        <v>42000</v>
      </c>
      <c r="E15" s="60">
        <v>0.5</v>
      </c>
      <c r="F15" s="29">
        <v>7</v>
      </c>
      <c r="G15" s="60">
        <v>0.11</v>
      </c>
      <c r="H15" s="20">
        <f t="shared" si="0"/>
        <v>1470.651817289177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4"/>
      <c r="B16" s="19" t="s">
        <v>209</v>
      </c>
      <c r="C16" s="60">
        <f>Fixed_Cost!D20</f>
        <v>0.33</v>
      </c>
      <c r="D16" s="29">
        <f>Fixed_Cost!E20</f>
        <v>0</v>
      </c>
      <c r="E16" s="60">
        <v>0.5</v>
      </c>
      <c r="F16" s="29">
        <v>7</v>
      </c>
      <c r="G16" s="60">
        <v>0.11</v>
      </c>
      <c r="H16" s="20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4"/>
      <c r="B17" s="19" t="s">
        <v>209</v>
      </c>
      <c r="C17" s="60">
        <f>Fixed_Cost!D21</f>
        <v>0.33</v>
      </c>
      <c r="D17" s="29">
        <f>Fixed_Cost!E21</f>
        <v>0</v>
      </c>
      <c r="E17" s="60">
        <v>0.5</v>
      </c>
      <c r="F17" s="29">
        <v>7</v>
      </c>
      <c r="G17" s="60">
        <v>0.11</v>
      </c>
      <c r="H17" s="20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4"/>
      <c r="B18" s="19"/>
      <c r="C18" s="60" t="s">
        <v>3</v>
      </c>
      <c r="D18" s="19"/>
      <c r="E18" s="60" t="s">
        <v>3</v>
      </c>
      <c r="F18" s="29" t="s">
        <v>3</v>
      </c>
      <c r="G18" s="60" t="s">
        <v>3</v>
      </c>
      <c r="H18" s="1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4"/>
      <c r="B19" s="19"/>
      <c r="C19" s="19"/>
      <c r="D19" s="29" t="s">
        <v>3</v>
      </c>
      <c r="E19" s="61" t="s">
        <v>3</v>
      </c>
      <c r="F19" s="62" t="s">
        <v>3</v>
      </c>
      <c r="G19" s="60" t="s">
        <v>3</v>
      </c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8" thickBot="1" x14ac:dyDescent="0.3">
      <c r="A20" s="4"/>
      <c r="B20" s="19"/>
      <c r="C20" s="21" t="s">
        <v>229</v>
      </c>
      <c r="D20" s="19"/>
      <c r="E20" s="61"/>
      <c r="F20" s="62"/>
      <c r="G20" s="62" t="s">
        <v>3</v>
      </c>
      <c r="H20" s="63">
        <f>SUM(H8:H18)</f>
        <v>7059.128722988049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8" thickTop="1" x14ac:dyDescent="0.25">
      <c r="A21" s="4"/>
      <c r="B21" s="19"/>
      <c r="C21" s="19"/>
      <c r="D21" s="19"/>
      <c r="E21" s="19"/>
      <c r="F21" s="19"/>
      <c r="G21" s="19"/>
      <c r="H21" s="1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8" thickBot="1" x14ac:dyDescent="0.3">
      <c r="A22" s="4"/>
      <c r="B22" s="64"/>
      <c r="C22" s="64"/>
      <c r="D22" s="64"/>
      <c r="E22" s="64"/>
      <c r="F22" s="64"/>
      <c r="G22" s="64"/>
      <c r="H22" s="6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3.8" thickTop="1" x14ac:dyDescent="0.25">
      <c r="A23" s="4"/>
      <c r="B23" s="19"/>
      <c r="C23" s="19"/>
      <c r="D23" s="19"/>
      <c r="E23" s="19"/>
      <c r="F23" s="19"/>
      <c r="G23" s="19"/>
      <c r="H23" s="1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4"/>
      <c r="B24" s="8" t="s">
        <v>230</v>
      </c>
      <c r="C24" s="8"/>
      <c r="D24" s="8"/>
      <c r="E24" s="8"/>
      <c r="F24" s="8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4"/>
      <c r="B25" s="65" t="s">
        <v>231</v>
      </c>
      <c r="C25" s="65"/>
      <c r="D25" s="65"/>
      <c r="E25" s="65"/>
      <c r="F25" s="65"/>
      <c r="G25" s="65"/>
      <c r="H25" s="6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4"/>
      <c r="B26" s="19" t="s">
        <v>232</v>
      </c>
      <c r="C26" s="19"/>
      <c r="D26" s="19"/>
      <c r="E26" s="19"/>
      <c r="F26" s="19"/>
      <c r="G26" s="19"/>
      <c r="H26" s="2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4"/>
      <c r="B27" s="19" t="s">
        <v>233</v>
      </c>
      <c r="C27" s="19"/>
      <c r="D27" s="19"/>
      <c r="E27" s="19"/>
      <c r="F27" s="19"/>
      <c r="G27" s="19"/>
      <c r="H27" s="20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4"/>
      <c r="B28" s="19" t="s">
        <v>234</v>
      </c>
      <c r="C28" s="19"/>
      <c r="D28" s="19"/>
      <c r="E28" s="19"/>
      <c r="F28" s="19"/>
      <c r="G28" s="19"/>
      <c r="H28" s="20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4"/>
      <c r="B29" s="19" t="s">
        <v>235</v>
      </c>
      <c r="C29" s="19"/>
      <c r="D29" s="19"/>
      <c r="E29" s="19"/>
      <c r="F29" s="19"/>
      <c r="G29" s="19"/>
      <c r="H29" s="20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4"/>
      <c r="B30" s="19" t="s">
        <v>236</v>
      </c>
      <c r="C30" s="19"/>
      <c r="D30" s="19"/>
      <c r="E30" s="19"/>
      <c r="F30" s="19"/>
      <c r="G30" s="19"/>
      <c r="H30" s="66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3.8" thickBot="1" x14ac:dyDescent="0.3">
      <c r="A31" s="4"/>
      <c r="B31" s="19"/>
      <c r="C31" s="19" t="s">
        <v>237</v>
      </c>
      <c r="D31" s="19"/>
      <c r="E31" s="19"/>
      <c r="F31" s="19"/>
      <c r="G31" s="19"/>
      <c r="H31" s="63">
        <f>SUM(H20:H30)</f>
        <v>7059.128722988049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3.8" thickTop="1" x14ac:dyDescent="0.25">
      <c r="A32" s="4"/>
      <c r="B32" s="19"/>
      <c r="C32" s="19"/>
      <c r="D32" s="19"/>
      <c r="E32" s="19"/>
      <c r="F32" s="19"/>
      <c r="G32" s="19"/>
      <c r="H32" s="1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19"/>
      <c r="C33" s="19" t="s">
        <v>238</v>
      </c>
      <c r="D33" s="19"/>
      <c r="E33" s="19"/>
      <c r="F33" s="19"/>
      <c r="G33" s="19"/>
      <c r="H33" s="20">
        <f>Fixed_Cost!H26</f>
        <v>558.8352000000001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19"/>
      <c r="C34" s="19" t="s">
        <v>239</v>
      </c>
      <c r="D34" s="19"/>
      <c r="E34" s="19"/>
      <c r="F34" s="19"/>
      <c r="G34" s="19"/>
      <c r="H34" s="20">
        <f>SUM(H31:H33)</f>
        <v>7617.9639229880495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3.8" thickBot="1" x14ac:dyDescent="0.3">
      <c r="A35" s="4"/>
      <c r="B35" s="19"/>
      <c r="C35" s="19" t="s">
        <v>240</v>
      </c>
      <c r="D35" s="19"/>
      <c r="E35" s="19"/>
      <c r="F35" s="19"/>
      <c r="G35" s="19"/>
      <c r="H35" s="63">
        <f>+H34/Fixed_Cost!E5</f>
        <v>190.44909807470123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8" thickTop="1" x14ac:dyDescent="0.25">
      <c r="A36" s="4"/>
      <c r="B36" s="19"/>
      <c r="C36" s="19"/>
      <c r="D36" s="19"/>
      <c r="E36" s="19"/>
      <c r="F36" s="19"/>
      <c r="G36" s="19"/>
      <c r="H36" s="1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printOptions horizontalCentered="1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F221911E6094A9806396E4589B962" ma:contentTypeVersion="16" ma:contentTypeDescription="Create a new document." ma:contentTypeScope="" ma:versionID="748e8be0a07ee4ff6e10676f84f9c414">
  <xsd:schema xmlns:xsd="http://www.w3.org/2001/XMLSchema" xmlns:xs="http://www.w3.org/2001/XMLSchema" xmlns:p="http://schemas.microsoft.com/office/2006/metadata/properties" xmlns:ns1="http://schemas.microsoft.com/sharepoint/v3" xmlns:ns3="677d27af-ca27-4d1f-83a6-94ee2c10a14d" xmlns:ns4="6fdc3133-a3d2-4425-bf7b-7eae0d7546ed" targetNamespace="http://schemas.microsoft.com/office/2006/metadata/properties" ma:root="true" ma:fieldsID="5b2d9aae36ecc81174ddfdcdd40af26b" ns1:_="" ns3:_="" ns4:_="">
    <xsd:import namespace="http://schemas.microsoft.com/sharepoint/v3"/>
    <xsd:import namespace="677d27af-ca27-4d1f-83a6-94ee2c10a14d"/>
    <xsd:import namespace="6fdc3133-a3d2-4425-bf7b-7eae0d7546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d27af-ca27-4d1f-83a6-94ee2c10a1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c3133-a3d2-4425-bf7b-7eae0d7546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34E59B-2C9E-47A3-B1BE-48E6AAA59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7d27af-ca27-4d1f-83a6-94ee2c10a14d"/>
    <ds:schemaRef ds:uri="6fdc3133-a3d2-4425-bf7b-7eae0d754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15F349-7DCD-431A-B3ED-E68D4A9E8AE3}">
  <ds:schemaRefs>
    <ds:schemaRef ds:uri="http://www.w3.org/XML/1998/namespace"/>
    <ds:schemaRef ds:uri="http://purl.org/dc/dcmitype/"/>
    <ds:schemaRef ds:uri="677d27af-ca27-4d1f-83a6-94ee2c10a14d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fdc3133-a3d2-4425-bf7b-7eae0d7546e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733D9E8-17CC-4FB3-826C-0144C9146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Main</vt:lpstr>
      <vt:lpstr>Irrigation</vt:lpstr>
      <vt:lpstr>Fixed_Cost</vt:lpstr>
      <vt:lpstr>Fixed_Payment</vt:lpstr>
      <vt:lpstr>\AUTOEXEC</vt:lpstr>
      <vt:lpstr>AFC</vt:lpstr>
      <vt:lpstr>AFP</vt:lpstr>
      <vt:lpstr>ENR</vt:lpstr>
      <vt:lpstr>ENR_MNR</vt:lpstr>
      <vt:lpstr>ETR</vt:lpstr>
      <vt:lpstr>EXPDATA</vt:lpstr>
      <vt:lpstr>EXPP</vt:lpstr>
      <vt:lpstr>EXPY</vt:lpstr>
      <vt:lpstr>FC</vt:lpstr>
      <vt:lpstr>FP</vt:lpstr>
      <vt:lpstr>IRR</vt:lpstr>
      <vt:lpstr>IRRIGATION</vt:lpstr>
      <vt:lpstr>MEDP</vt:lpstr>
      <vt:lpstr>MEDY</vt:lpstr>
      <vt:lpstr>MNR</vt:lpstr>
      <vt:lpstr>MTC</vt:lpstr>
      <vt:lpstr>MTR</vt:lpstr>
      <vt:lpstr>PAGE1</vt:lpstr>
      <vt:lpstr>PAGE2</vt:lpstr>
      <vt:lpstr>STRHH</vt:lpstr>
      <vt:lpstr>STRHL</vt:lpstr>
      <vt:lpstr>STRLH</vt:lpstr>
      <vt:lpstr>STRLL</vt:lpstr>
      <vt:lpstr>STRO</vt:lpstr>
      <vt:lpstr>STRP</vt:lpstr>
      <vt:lpstr>UNIT</vt:lpstr>
      <vt:lpstr>UNITCOST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Esendugue Greg Fonsah</cp:lastModifiedBy>
  <cp:lastPrinted>2020-03-02T20:08:04Z</cp:lastPrinted>
  <dcterms:created xsi:type="dcterms:W3CDTF">2019-02-22T20:38:37Z</dcterms:created>
  <dcterms:modified xsi:type="dcterms:W3CDTF">2022-01-17T12:59:32Z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</Properties>
</file>